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mirr\My Drive\Freedom Gameplan\Freedom Gameplan - Final Draft - Pre-editor\Website resources\"/>
    </mc:Choice>
  </mc:AlternateContent>
  <xr:revisionPtr revIDLastSave="0" documentId="13_ncr:1_{842ACFC2-CCC8-46F0-819B-509FADB5BE73}" xr6:coauthVersionLast="47" xr6:coauthVersionMax="47" xr10:uidLastSave="{00000000-0000-0000-0000-000000000000}"/>
  <bookViews>
    <workbookView xWindow="-98" yWindow="-98" windowWidth="21795" windowHeight="12975" xr2:uid="{5D5CEA95-E605-4472-BD49-E1615318372A}"/>
  </bookViews>
  <sheets>
    <sheet name="FHSS Calculator" sheetId="1" r:id="rId1"/>
    <sheet name="Tax Rates" sheetId="2" r:id="rId2"/>
    <sheet name="Schedul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4" i="1" l="1"/>
  <c r="B13" i="1"/>
  <c r="D7" i="1" s="1"/>
  <c r="B20" i="1"/>
  <c r="B21" i="1" s="1"/>
  <c r="B25" i="1"/>
  <c r="B23" i="1"/>
  <c r="C11" i="1"/>
  <c r="D14" i="3"/>
  <c r="D13" i="3"/>
  <c r="D12" i="3"/>
  <c r="D11" i="3"/>
  <c r="D10" i="3"/>
  <c r="H5" i="3"/>
  <c r="B5" i="3"/>
  <c r="C48" i="1"/>
  <c r="B48" i="1"/>
  <c r="C45" i="1"/>
  <c r="B45" i="1"/>
  <c r="B33" i="1"/>
  <c r="B34" i="1" s="1"/>
  <c r="B26" i="1" l="1"/>
  <c r="B16" i="1"/>
  <c r="B17" i="1" s="1"/>
  <c r="B38" i="1"/>
  <c r="B6" i="3"/>
  <c r="C5" i="3"/>
  <c r="F5" i="3"/>
  <c r="G5" i="3" s="1"/>
  <c r="B46" i="1"/>
  <c r="C46" i="1"/>
  <c r="C47" i="1" s="1"/>
  <c r="B35" i="1"/>
  <c r="B36" i="1" l="1"/>
  <c r="B37" i="1"/>
  <c r="B39" i="1" s="1"/>
  <c r="B47" i="1"/>
  <c r="D46" i="1"/>
  <c r="H6" i="3"/>
  <c r="C6" i="3"/>
  <c r="F6" i="3"/>
  <c r="B7" i="3"/>
  <c r="B24" i="1"/>
  <c r="B29" i="1" s="1"/>
  <c r="C49" i="1"/>
  <c r="C29" i="1" l="1"/>
  <c r="D8" i="3"/>
  <c r="D9" i="3"/>
  <c r="F7" i="3"/>
  <c r="B8" i="3"/>
  <c r="G6" i="3"/>
  <c r="H7" i="3" s="1"/>
  <c r="B40" i="1"/>
  <c r="C50" i="1"/>
  <c r="C51" i="1" s="1"/>
  <c r="D47" i="1"/>
  <c r="B49" i="1"/>
  <c r="C7" i="3"/>
  <c r="B54" i="1"/>
  <c r="D5" i="3"/>
  <c r="B30" i="1"/>
  <c r="D6" i="3"/>
  <c r="D7" i="3"/>
  <c r="B10" i="3"/>
  <c r="G7" i="3" l="1"/>
  <c r="C8" i="3"/>
  <c r="F8" i="3"/>
  <c r="B9" i="3"/>
  <c r="F9" i="3" s="1"/>
  <c r="D49" i="1"/>
  <c r="B50" i="1"/>
  <c r="H8" i="3"/>
  <c r="G8" i="3" s="1"/>
  <c r="D16" i="3"/>
  <c r="E5" i="3"/>
  <c r="E6" i="3" s="1"/>
  <c r="E7" i="3" s="1"/>
  <c r="E8" i="3" s="1"/>
  <c r="E9" i="3" s="1"/>
  <c r="E10" i="3" s="1"/>
  <c r="E11" i="3" s="1"/>
  <c r="E12" i="3" s="1"/>
  <c r="E13" i="3" s="1"/>
  <c r="E14" i="3" s="1"/>
  <c r="B11" i="3"/>
  <c r="F10" i="3"/>
  <c r="C9" i="3" l="1"/>
  <c r="C10" i="3" s="1"/>
  <c r="D50" i="1"/>
  <c r="B51" i="1"/>
  <c r="D51" i="1" s="1"/>
  <c r="B55" i="1" s="1"/>
  <c r="H9" i="3"/>
  <c r="G9" i="3" s="1"/>
  <c r="C11" i="3"/>
  <c r="F11" i="3"/>
  <c r="B12" i="3"/>
  <c r="F12" i="3" s="1"/>
  <c r="B13" i="3"/>
  <c r="H10" i="3" l="1"/>
  <c r="G10" i="3" s="1"/>
  <c r="C12" i="3"/>
  <c r="C13" i="3" s="1"/>
  <c r="F13" i="3"/>
  <c r="B14" i="3"/>
  <c r="H11" i="3" l="1"/>
  <c r="G11" i="3" s="1"/>
  <c r="H12" i="3" s="1"/>
  <c r="G12" i="3" s="1"/>
  <c r="H13" i="3" s="1"/>
  <c r="G13" i="3" s="1"/>
  <c r="F14" i="3"/>
  <c r="F16" i="3" s="1"/>
  <c r="B16" i="3"/>
  <c r="C14" i="3"/>
  <c r="H14" i="3" l="1"/>
  <c r="G14" i="3" l="1"/>
  <c r="H16" i="3"/>
</calcChain>
</file>

<file path=xl/sharedStrings.xml><?xml version="1.0" encoding="utf-8"?>
<sst xmlns="http://schemas.openxmlformats.org/spreadsheetml/2006/main" count="97" uniqueCount="95">
  <si>
    <t>Lower Bound</t>
  </si>
  <si>
    <t>Upper Bound</t>
  </si>
  <si>
    <t>Marginal Rate</t>
  </si>
  <si>
    <t>Base Tax at Lower</t>
  </si>
  <si>
    <t>Bracket Description</t>
  </si>
  <si>
    <t>Tax-free threshold</t>
  </si>
  <si>
    <t>16c per $1 over $18,200</t>
  </si>
  <si>
    <t>$4,288 + 30c per $1 over $45,000</t>
  </si>
  <si>
    <t>$31,288 + 37c per $1 over $135,000</t>
  </si>
  <si>
    <t>$51,638 + 45c per $1 over $190,000</t>
  </si>
  <si>
    <t>Other Rates</t>
  </si>
  <si>
    <t>Medicare Levy</t>
  </si>
  <si>
    <t>Concessional Super Contributions Tax</t>
  </si>
  <si>
    <t>FHSS Withdrawal Tax Offset</t>
  </si>
  <si>
    <t>Concessional Contribution Cap (FY26)</t>
  </si>
  <si>
    <t>FHSS Annual Contribution Limit</t>
  </si>
  <si>
    <t>FHSS Total Release Limit</t>
  </si>
  <si>
    <t>FHSS Deemed Earnings Rate (SIC, indicative)</t>
  </si>
  <si>
    <t>First Home Super Saver (FHSS) Scheme Calculator</t>
  </si>
  <si>
    <t>Australian residents — 2025-26 marginal tax rates incl. 2% Medicare Levy</t>
  </si>
  <si>
    <t>INPUTS</t>
  </si>
  <si>
    <t>Annual Gross Salary (excl. super)</t>
  </si>
  <si>
    <t>Annual FHSS Voluntary Contribution</t>
  </si>
  <si>
    <t>Contribution Type</t>
  </si>
  <si>
    <t>Concessional</t>
  </si>
  <si>
    <t>Concessional (pre-tax/salary sacrifice) or Non-concessional (post-tax)</t>
  </si>
  <si>
    <t>Number of Years Contributing</t>
  </si>
  <si>
    <t>Year of Withdrawal (Yrs from now)</t>
  </si>
  <si>
    <t>MARGINAL TAX RATE &amp; BASELINE TAX</t>
  </si>
  <si>
    <t>Total Tax — No FHSS</t>
  </si>
  <si>
    <t>Net Take-Home Pay — No FHSS</t>
  </si>
  <si>
    <t>WITH FHSS CONTRIBUTION</t>
  </si>
  <si>
    <t>Taxable Income After Salary Sacrifice</t>
  </si>
  <si>
    <t>Total Tax — With FHSS</t>
  </si>
  <si>
    <t>Net Take-Home (excl. super contribution)</t>
  </si>
  <si>
    <t>ANNUAL TAX SAVING</t>
  </si>
  <si>
    <t>Tax Saved per Year</t>
  </si>
  <si>
    <t>Effective Saving Rate (vs. contribution)</t>
  </si>
  <si>
    <t>FHSS WITHDRAWAL TAX (at release)</t>
  </si>
  <si>
    <t>Total Eligible Contributions</t>
  </si>
  <si>
    <t>Capped at $50,000 lifetime limit</t>
  </si>
  <si>
    <t>Net of Contributions Tax</t>
  </si>
  <si>
    <t>Associated Earnings (deemed, SIC)</t>
  </si>
  <si>
    <t>Total Released Amount (gross)</t>
  </si>
  <si>
    <t>Assessable Portion (Concessional + Earnings)</t>
  </si>
  <si>
    <t>Withholding Tax Rate (MTR − 30% offset)</t>
  </si>
  <si>
    <t>Withdrawal Tax</t>
  </si>
  <si>
    <t>Net Released to Buy Home</t>
  </si>
  <si>
    <t>COMPARISON: FHSS vs. SAVING OUTSIDE SUPER</t>
  </si>
  <si>
    <t>FHSS Strategy</t>
  </si>
  <si>
    <t>Outside Super (Bank/ETF)</t>
  </si>
  <si>
    <t>FHSS Advantage</t>
  </si>
  <si>
    <t>Pre-tax contribution / saving</t>
  </si>
  <si>
    <t>—</t>
  </si>
  <si>
    <t>Tax paid going IN</t>
  </si>
  <si>
    <t>Net amount saved</t>
  </si>
  <si>
    <t>Earnings rate applied</t>
  </si>
  <si>
    <t>Gross earnings over period</t>
  </si>
  <si>
    <t>Tax on earnings</t>
  </si>
  <si>
    <t>Net amount available to buy home</t>
  </si>
  <si>
    <t>TOTAL FHSS BENEFIT</t>
  </si>
  <si>
    <t>Total tax saved over contribution period</t>
  </si>
  <si>
    <t>Net advantage at withdrawal (vs. outside super)</t>
  </si>
  <si>
    <t>Multi-Year FHSS Contribution Schedule</t>
  </si>
  <si>
    <t>Tracks contributions, tax savings, deemed earnings, and running balance year-by-year</t>
  </si>
  <si>
    <t>Year</t>
  </si>
  <si>
    <t>Annual Contribution</t>
  </si>
  <si>
    <t>Cumulative Contributions</t>
  </si>
  <si>
    <t>Tax Saved (Annual)</t>
  </si>
  <si>
    <t>Cumulative Tax Saved</t>
  </si>
  <si>
    <t>Net to Super (after 15%)</t>
  </si>
  <si>
    <t>Cumulative Super Balance</t>
  </si>
  <si>
    <t>Deemed Earnings (Year)</t>
  </si>
  <si>
    <t>TOTALS</t>
  </si>
  <si>
    <t>Notes:</t>
  </si>
  <si>
    <t>• Annual contribution capped at $15,000 and lifetime at $50,000 (per ATO).</t>
  </si>
  <si>
    <t>• Schedule will only contribute up to the # of Years on Inputs sheet (cell B8).</t>
  </si>
  <si>
    <t>• Deemed earnings use the indicative SIC rate (editable on Tax Rates sheet, B17).</t>
  </si>
  <si>
    <t>• Net to Super assumes Concessional (15% contributions tax). Non-concessional gets full amount.</t>
  </si>
  <si>
    <t>Marginal Tax Rate (incl. Medicare) — select</t>
  </si>
  <si>
    <t>Division 293 Additional Tax Rate</t>
  </si>
  <si>
    <t>Division 293 Income Threshold</t>
  </si>
  <si>
    <t>Source: ATO — Individual income tax rates (residents) FY2025-26. Div 293 threshold $250k.</t>
  </si>
  <si>
    <t>Apply Division 293 Tax?</t>
  </si>
  <si>
    <t>Auto</t>
  </si>
  <si>
    <t>Contributions Tax (15% + Div 293 if applicable)</t>
  </si>
  <si>
    <t>Net Amount in Super (after tax)</t>
  </si>
  <si>
    <r>
      <t xml:space="preserve">DISCLAIMER: </t>
    </r>
    <r>
      <rPr>
        <sz val="11"/>
        <color rgb="FFFFFFFF"/>
        <rFont val="Calibri"/>
        <family val="2"/>
      </rPr>
      <t>This calculator is a general information tool only. Results are estimates based on the inputs you provide and assumptions about tax rates, deemed earnings rates, and ATO rules current at the time of publication. Actual outcomes will vary depending on your fund's rules, the SIC rate at the time of withdrawal, changes to tax legislation, and your individual circumstances. This calculator does not constitute personal financial advice or tax advice. Before making any FHSS contributions or withdrawal decisions, consult a licensed financial adviser and a registered tax agent. Figures shown do not account for employer SGC contributions against your concessional cap, confirm your available cap before contributing.</t>
    </r>
  </si>
  <si>
    <r>
      <rPr>
        <b/>
        <sz val="10"/>
        <color theme="1"/>
        <rFont val="Aptos Narrow"/>
        <family val="2"/>
        <scheme val="minor"/>
      </rPr>
      <t>Note:</t>
    </r>
    <r>
      <rPr>
        <sz val="10"/>
        <color theme="1"/>
        <rFont val="Aptos Narrow"/>
        <family val="2"/>
        <scheme val="minor"/>
      </rPr>
      <t xml:space="preserve"> Your FHSS voluntary contribution plus your employer's SGC contributions must not exceed the annual concessional cap of $30,000. Check your employer SGC amount before contributing.</t>
    </r>
  </si>
  <si>
    <t>Based on indicative SIC rate; actual rate at withdrawal may vary</t>
  </si>
  <si>
    <t>Capped at $15,000/yr; $50,000 lifetime. Cannot exceed your gross salary.</t>
  </si>
  <si>
    <t>Auto-calculated from salary (incl. 2% Medicare Levy)</t>
  </si>
  <si>
    <t>Total Tax — No FHSS (progressive)</t>
  </si>
  <si>
    <t>(Includes 2% Medicare Levy where applicable)</t>
  </si>
  <si>
    <t>Income Tax on Reduced Salary (progressive)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</si>
</sst>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quot;$&quot;#,##0\);\-"/>
    <numFmt numFmtId="165" formatCode="0.0%"/>
    <numFmt numFmtId="166" formatCode="&quot;$&quot;#,##0"/>
  </numFmts>
  <fonts count="26" x14ac:knownFonts="1">
    <font>
      <sz val="11"/>
      <color theme="1"/>
      <name val="Aptos Narrow"/>
      <family val="2"/>
      <scheme val="minor"/>
    </font>
    <font>
      <b/>
      <sz val="11"/>
      <color theme="1"/>
      <name val="Aptos Narrow"/>
      <family val="2"/>
      <scheme val="minor"/>
    </font>
    <font>
      <sz val="9"/>
      <color rgb="FF666666"/>
      <name val="Aptos Narrow"/>
      <family val="2"/>
      <scheme val="minor"/>
    </font>
    <font>
      <i/>
      <sz val="9"/>
      <color rgb="FF666666"/>
      <name val="Aptos Narrow"/>
      <family val="2"/>
      <scheme val="minor"/>
    </font>
    <font>
      <b/>
      <sz val="18"/>
      <color rgb="FFFFFFFF"/>
      <name val="Calibri"/>
    </font>
    <font>
      <b/>
      <i/>
      <sz val="10"/>
      <color rgb="FFFFFFFF"/>
      <name val="Aptos Narrow"/>
      <family val="2"/>
      <scheme val="minor"/>
    </font>
    <font>
      <b/>
      <sz val="11"/>
      <color rgb="FFFFFFFF"/>
      <name val="Aptos Narrow"/>
      <family val="2"/>
      <scheme val="minor"/>
    </font>
    <font>
      <b/>
      <sz val="11"/>
      <color rgb="FFFFFFFF"/>
      <name val="Calibri"/>
    </font>
    <font>
      <i/>
      <sz val="9"/>
      <color rgb="FF666666"/>
      <name val="Calibri"/>
    </font>
    <font>
      <sz val="10"/>
      <color theme="1"/>
      <name val="Calibri"/>
    </font>
    <font>
      <sz val="10"/>
      <color rgb="FF0000FF"/>
      <name val="Calibri"/>
    </font>
    <font>
      <i/>
      <sz val="10"/>
      <color rgb="FF666666"/>
      <name val="Calibri"/>
    </font>
    <font>
      <b/>
      <sz val="10"/>
      <color theme="1"/>
      <name val="Calibri"/>
    </font>
    <font>
      <b/>
      <sz val="10"/>
      <color rgb="FFFFFFFF"/>
      <name val="Calibri"/>
    </font>
    <font>
      <b/>
      <sz val="10"/>
      <color rgb="FF0000FF"/>
      <name val="Calibri"/>
    </font>
    <font>
      <b/>
      <sz val="14"/>
      <color rgb="FFFFFFFF"/>
      <name val="Calibri"/>
    </font>
    <font>
      <b/>
      <sz val="16"/>
      <color rgb="FFFFFFFF"/>
      <name val="Calibri"/>
    </font>
    <font>
      <b/>
      <sz val="10"/>
      <color rgb="FFFFFFFF"/>
      <name val="Aptos Narrow"/>
      <family val="2"/>
      <scheme val="minor"/>
    </font>
    <font>
      <b/>
      <sz val="11"/>
      <color rgb="FF0000FF"/>
      <name val="Aptos Narrow"/>
      <family val="2"/>
      <scheme val="minor"/>
    </font>
    <font>
      <b/>
      <sz val="11"/>
      <color rgb="FFFFFFFF"/>
      <name val="Calibri"/>
      <family val="2"/>
    </font>
    <font>
      <sz val="11"/>
      <color rgb="FFFFFFFF"/>
      <name val="Calibri"/>
      <family val="2"/>
    </font>
    <font>
      <sz val="10"/>
      <color theme="1"/>
      <name val="Aptos Narrow"/>
      <family val="2"/>
      <scheme val="minor"/>
    </font>
    <font>
      <b/>
      <sz val="10"/>
      <color theme="1"/>
      <name val="Aptos Narrow"/>
      <family val="2"/>
      <scheme val="minor"/>
    </font>
    <font>
      <i/>
      <sz val="10"/>
      <color rgb="FF666666"/>
      <name val="Calibri"/>
      <family val="2"/>
    </font>
    <font>
      <b/>
      <i/>
      <sz val="10"/>
      <color rgb="FFC00000"/>
      <name val="Calibri"/>
      <family val="2"/>
    </font>
    <font>
      <b/>
      <sz val="10"/>
      <color rgb="FF000000"/>
      <name val="Calibri"/>
      <family val="2"/>
    </font>
  </fonts>
  <fills count="9">
    <fill>
      <patternFill patternType="none"/>
    </fill>
    <fill>
      <patternFill patternType="gray125"/>
    </fill>
    <fill>
      <patternFill patternType="solid">
        <fgColor rgb="FF0A0A0A"/>
        <bgColor indexed="64"/>
      </patternFill>
    </fill>
    <fill>
      <patternFill patternType="solid">
        <fgColor rgb="FFF26B1F"/>
        <bgColor indexed="64"/>
      </patternFill>
    </fill>
    <fill>
      <patternFill patternType="solid">
        <fgColor rgb="FFFDE4D2"/>
        <bgColor indexed="64"/>
      </patternFill>
    </fill>
    <fill>
      <patternFill patternType="solid">
        <fgColor rgb="FFFFF2CC"/>
        <bgColor indexed="64"/>
      </patternFill>
    </fill>
    <fill>
      <patternFill patternType="solid">
        <fgColor rgb="FFFAFAFA"/>
        <bgColor indexed="64"/>
      </patternFill>
    </fill>
    <fill>
      <patternFill patternType="solid">
        <fgColor rgb="FFFFFFFF"/>
        <bgColor indexed="64"/>
      </patternFill>
    </fill>
    <fill>
      <patternFill patternType="solid">
        <fgColor rgb="FFE7E6E6"/>
        <bgColor indexed="64"/>
      </patternFill>
    </fill>
  </fills>
  <borders count="19">
    <border>
      <left/>
      <right/>
      <top/>
      <bottom/>
      <diagonal/>
    </border>
    <border>
      <left/>
      <right/>
      <top/>
      <bottom style="thin">
        <color rgb="FFD9D9D9"/>
      </bottom>
      <diagonal/>
    </border>
    <border>
      <left/>
      <right/>
      <top/>
      <bottom style="medium">
        <color rgb="FFF26B1F"/>
      </bottom>
      <diagonal/>
    </border>
    <border>
      <left/>
      <right/>
      <top style="medium">
        <color rgb="FFF26B1F"/>
      </top>
      <bottom style="medium">
        <color rgb="FFF26B1F"/>
      </bottom>
      <diagonal/>
    </border>
    <border>
      <left/>
      <right/>
      <top style="medium">
        <color rgb="FFF26B1F"/>
      </top>
      <bottom/>
      <diagonal/>
    </border>
    <border>
      <left/>
      <right/>
      <top style="thin">
        <color rgb="FFD9D9D9"/>
      </top>
      <bottom style="thin">
        <color rgb="FFD9D9D9"/>
      </bottom>
      <diagonal/>
    </border>
    <border>
      <left/>
      <right/>
      <top style="thin">
        <color rgb="FFD9D9D9"/>
      </top>
      <bottom/>
      <diagonal/>
    </border>
    <border>
      <left/>
      <right/>
      <top style="thin">
        <color rgb="FFD9D9D9"/>
      </top>
      <bottom style="thin">
        <color rgb="FF0A0A0A"/>
      </bottom>
      <diagonal/>
    </border>
    <border>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diagonal/>
    </border>
    <border>
      <left style="thin">
        <color rgb="FFD9D9D9"/>
      </left>
      <right style="thin">
        <color rgb="FFD9D9D9"/>
      </right>
      <top style="thin">
        <color rgb="FFD9D9D9"/>
      </top>
      <bottom/>
      <diagonal/>
    </border>
    <border>
      <left style="thin">
        <color rgb="FFD9D9D9"/>
      </left>
      <right/>
      <top style="thin">
        <color rgb="FFD9D9D9"/>
      </top>
      <bottom/>
      <diagonal/>
    </border>
    <border>
      <left/>
      <right/>
      <top style="medium">
        <color rgb="FF0A0A0A"/>
      </top>
      <bottom/>
      <diagonal/>
    </border>
    <border>
      <left/>
      <right/>
      <top style="thin">
        <color rgb="FFD9D9D9"/>
      </top>
      <bottom style="medium">
        <color rgb="FFF26B1F"/>
      </bottom>
      <diagonal/>
    </border>
  </borders>
  <cellStyleXfs count="1">
    <xf numFmtId="0" fontId="0" fillId="0" borderId="0"/>
  </cellStyleXfs>
  <cellXfs count="74">
    <xf numFmtId="0" fontId="0" fillId="0" borderId="0" xfId="0"/>
    <xf numFmtId="0" fontId="9" fillId="0" borderId="0" xfId="0" applyFont="1"/>
    <xf numFmtId="0" fontId="9" fillId="0" borderId="1" xfId="0" applyFont="1" applyBorder="1"/>
    <xf numFmtId="0" fontId="6" fillId="3" borderId="0" xfId="0" applyFont="1" applyFill="1" applyAlignment="1">
      <alignment horizontal="center"/>
    </xf>
    <xf numFmtId="166" fontId="14" fillId="5" borderId="0" xfId="0" applyNumberFormat="1" applyFont="1" applyFill="1" applyProtection="1">
      <protection locked="0"/>
    </xf>
    <xf numFmtId="166" fontId="14" fillId="5" borderId="4" xfId="0" applyNumberFormat="1" applyFont="1" applyFill="1" applyBorder="1" applyProtection="1">
      <protection locked="0"/>
    </xf>
    <xf numFmtId="0" fontId="14" fillId="5" borderId="4" xfId="0" applyFont="1" applyFill="1" applyBorder="1" applyAlignment="1" applyProtection="1">
      <alignment horizontal="center"/>
      <protection locked="0"/>
    </xf>
    <xf numFmtId="1" fontId="14" fillId="5" borderId="4" xfId="0" applyNumberFormat="1" applyFont="1" applyFill="1" applyBorder="1" applyProtection="1">
      <protection locked="0"/>
    </xf>
    <xf numFmtId="164" fontId="10" fillId="0" borderId="1" xfId="0" applyNumberFormat="1" applyFont="1" applyBorder="1"/>
    <xf numFmtId="165" fontId="10" fillId="0" borderId="1" xfId="0" applyNumberFormat="1" applyFont="1" applyBorder="1"/>
    <xf numFmtId="164" fontId="10" fillId="0" borderId="5" xfId="0" applyNumberFormat="1" applyFont="1" applyBorder="1"/>
    <xf numFmtId="165" fontId="10" fillId="0" borderId="5" xfId="0" applyNumberFormat="1" applyFont="1" applyBorder="1"/>
    <xf numFmtId="0" fontId="9" fillId="0" borderId="5" xfId="0" applyFont="1" applyBorder="1"/>
    <xf numFmtId="164" fontId="10" fillId="0" borderId="7" xfId="0" applyNumberFormat="1" applyFont="1" applyBorder="1"/>
    <xf numFmtId="165" fontId="10" fillId="0" borderId="7" xfId="0" applyNumberFormat="1" applyFont="1" applyBorder="1"/>
    <xf numFmtId="0" fontId="9" fillId="0" borderId="7" xfId="0" applyFont="1" applyBorder="1"/>
    <xf numFmtId="166" fontId="10" fillId="0" borderId="5" xfId="0" applyNumberFormat="1" applyFont="1" applyBorder="1"/>
    <xf numFmtId="0" fontId="9" fillId="0" borderId="6" xfId="0" applyFont="1" applyBorder="1"/>
    <xf numFmtId="0" fontId="3" fillId="0" borderId="0" xfId="0" applyFont="1"/>
    <xf numFmtId="0" fontId="17" fillId="3" borderId="0" xfId="0" applyFont="1" applyFill="1" applyAlignment="1">
      <alignment horizontal="center" vertical="center" wrapText="1"/>
    </xf>
    <xf numFmtId="1" fontId="9" fillId="6" borderId="8" xfId="0" applyNumberFormat="1" applyFont="1" applyFill="1" applyBorder="1" applyAlignment="1">
      <alignment horizontal="center"/>
    </xf>
    <xf numFmtId="164" fontId="9" fillId="6" borderId="9" xfId="0" applyNumberFormat="1" applyFont="1" applyFill="1" applyBorder="1"/>
    <xf numFmtId="164" fontId="9" fillId="6" borderId="10" xfId="0" applyNumberFormat="1" applyFont="1" applyFill="1" applyBorder="1"/>
    <xf numFmtId="1" fontId="9" fillId="0" borderId="11" xfId="0" applyNumberFormat="1" applyFont="1" applyBorder="1" applyAlignment="1">
      <alignment horizontal="center"/>
    </xf>
    <xf numFmtId="164" fontId="9" fillId="0" borderId="12" xfId="0" applyNumberFormat="1" applyFont="1" applyBorder="1"/>
    <xf numFmtId="164" fontId="9" fillId="0" borderId="13" xfId="0" applyNumberFormat="1" applyFont="1" applyBorder="1"/>
    <xf numFmtId="1" fontId="9" fillId="6" borderId="11" xfId="0" applyNumberFormat="1" applyFont="1" applyFill="1" applyBorder="1" applyAlignment="1">
      <alignment horizontal="center"/>
    </xf>
    <xf numFmtId="164" fontId="9" fillId="6" borderId="12" xfId="0" applyNumberFormat="1" applyFont="1" applyFill="1" applyBorder="1"/>
    <xf numFmtId="164" fontId="9" fillId="6" borderId="13" xfId="0" applyNumberFormat="1" applyFont="1" applyFill="1" applyBorder="1"/>
    <xf numFmtId="1" fontId="9" fillId="0" borderId="14" xfId="0" applyNumberFormat="1" applyFont="1" applyBorder="1" applyAlignment="1">
      <alignment horizontal="center"/>
    </xf>
    <xf numFmtId="164" fontId="9" fillId="0" borderId="15" xfId="0" applyNumberFormat="1" applyFont="1" applyBorder="1"/>
    <xf numFmtId="164" fontId="9" fillId="0" borderId="16" xfId="0" applyNumberFormat="1" applyFont="1" applyBorder="1"/>
    <xf numFmtId="0" fontId="6" fillId="3" borderId="17" xfId="0" applyFont="1" applyFill="1" applyBorder="1" applyAlignment="1">
      <alignment horizontal="center"/>
    </xf>
    <xf numFmtId="164" fontId="6" fillId="3" borderId="17" xfId="0" applyNumberFormat="1" applyFont="1" applyFill="1" applyBorder="1"/>
    <xf numFmtId="0" fontId="6" fillId="3" borderId="17" xfId="0" applyFont="1" applyFill="1" applyBorder="1"/>
    <xf numFmtId="0" fontId="1" fillId="0" borderId="0" xfId="0" applyFont="1"/>
    <xf numFmtId="0" fontId="2" fillId="0" borderId="0" xfId="0" applyFont="1"/>
    <xf numFmtId="166" fontId="10" fillId="0" borderId="6" xfId="0" applyNumberFormat="1" applyFont="1" applyBorder="1"/>
    <xf numFmtId="10" fontId="14" fillId="5" borderId="18" xfId="0" applyNumberFormat="1" applyFont="1" applyFill="1" applyBorder="1" applyProtection="1">
      <protection locked="0"/>
    </xf>
    <xf numFmtId="166" fontId="10" fillId="0" borderId="0" xfId="0" applyNumberFormat="1" applyFont="1"/>
    <xf numFmtId="165" fontId="10" fillId="0" borderId="0" xfId="0" applyNumberFormat="1" applyFont="1"/>
    <xf numFmtId="0" fontId="8" fillId="0" borderId="0" xfId="0" applyFont="1"/>
    <xf numFmtId="0" fontId="18" fillId="5" borderId="3" xfId="0" applyFont="1" applyFill="1" applyBorder="1" applyAlignment="1" applyProtection="1">
      <alignment horizontal="center"/>
      <protection locked="0"/>
    </xf>
    <xf numFmtId="0" fontId="0" fillId="0" borderId="0" xfId="0" applyProtection="1">
      <protection locked="0"/>
    </xf>
    <xf numFmtId="0" fontId="9" fillId="0" borderId="0" xfId="0" applyFont="1" applyProtection="1">
      <protection locked="0"/>
    </xf>
    <xf numFmtId="0" fontId="11" fillId="0" borderId="0" xfId="0" applyFont="1" applyProtection="1">
      <protection locked="0"/>
    </xf>
    <xf numFmtId="0" fontId="24" fillId="7" borderId="0" xfId="0" applyFont="1" applyFill="1" applyAlignment="1" applyProtection="1">
      <alignment horizontal="left"/>
      <protection locked="0"/>
    </xf>
    <xf numFmtId="0" fontId="9" fillId="0" borderId="1" xfId="0" applyFont="1" applyBorder="1" applyProtection="1">
      <protection locked="0"/>
    </xf>
    <xf numFmtId="0" fontId="3" fillId="0" borderId="0" xfId="0" applyFont="1" applyProtection="1">
      <protection locked="0"/>
    </xf>
    <xf numFmtId="0" fontId="23" fillId="7" borderId="0" xfId="0" applyFont="1" applyFill="1" applyProtection="1">
      <protection locked="0"/>
    </xf>
    <xf numFmtId="164" fontId="9" fillId="0" borderId="0" xfId="0" applyNumberFormat="1" applyFont="1" applyProtection="1">
      <protection locked="0"/>
    </xf>
    <xf numFmtId="164" fontId="12" fillId="0" borderId="0" xfId="0" applyNumberFormat="1" applyFont="1" applyProtection="1">
      <protection locked="0"/>
    </xf>
    <xf numFmtId="164" fontId="12" fillId="0" borderId="1" xfId="0" applyNumberFormat="1" applyFont="1" applyBorder="1" applyProtection="1">
      <protection locked="0"/>
    </xf>
    <xf numFmtId="164" fontId="12" fillId="4" borderId="0" xfId="0" applyNumberFormat="1" applyFont="1" applyFill="1" applyProtection="1">
      <protection locked="0"/>
    </xf>
    <xf numFmtId="0" fontId="24" fillId="7" borderId="0" xfId="0" applyFont="1" applyFill="1" applyProtection="1">
      <protection locked="0"/>
    </xf>
    <xf numFmtId="165" fontId="12" fillId="4" borderId="1" xfId="0" applyNumberFormat="1" applyFont="1" applyFill="1" applyBorder="1" applyProtection="1">
      <protection locked="0"/>
    </xf>
    <xf numFmtId="165" fontId="9" fillId="0" borderId="0" xfId="0" applyNumberFormat="1" applyFont="1" applyProtection="1">
      <protection locked="0"/>
    </xf>
    <xf numFmtId="164" fontId="12" fillId="4" borderId="1" xfId="0" applyNumberFormat="1" applyFont="1" applyFill="1" applyBorder="1" applyProtection="1">
      <protection locked="0"/>
    </xf>
    <xf numFmtId="0" fontId="6" fillId="3" borderId="0" xfId="0" applyFont="1" applyFill="1" applyAlignment="1" applyProtection="1">
      <alignment horizontal="center"/>
      <protection locked="0"/>
    </xf>
    <xf numFmtId="0" fontId="9" fillId="0" borderId="0" xfId="0" applyFont="1" applyAlignment="1" applyProtection="1">
      <alignment horizontal="center"/>
      <protection locked="0"/>
    </xf>
    <xf numFmtId="10" fontId="9" fillId="0" borderId="0" xfId="0" applyNumberFormat="1" applyFont="1" applyProtection="1">
      <protection locked="0"/>
    </xf>
    <xf numFmtId="0" fontId="12" fillId="0" borderId="1" xfId="0" applyFont="1" applyBorder="1" applyProtection="1">
      <protection locked="0"/>
    </xf>
    <xf numFmtId="164" fontId="13" fillId="3" borderId="1" xfId="0" applyNumberFormat="1" applyFont="1" applyFill="1" applyBorder="1" applyProtection="1">
      <protection locked="0"/>
    </xf>
    <xf numFmtId="165" fontId="25" fillId="8" borderId="2" xfId="0" applyNumberFormat="1" applyFont="1" applyFill="1" applyBorder="1" applyAlignment="1">
      <alignment horizontal="center"/>
    </xf>
    <xf numFmtId="0" fontId="21" fillId="0" borderId="0" xfId="0" applyFont="1" applyAlignment="1" applyProtection="1">
      <alignment horizontal="left" wrapText="1"/>
      <protection locked="0"/>
    </xf>
    <xf numFmtId="0" fontId="7" fillId="2" borderId="0" xfId="0" applyFont="1" applyFill="1" applyAlignment="1" applyProtection="1">
      <alignment horizontal="left" vertical="center" indent="1"/>
      <protection locked="0"/>
    </xf>
    <xf numFmtId="0" fontId="4" fillId="2" borderId="0" xfId="0" applyFont="1" applyFill="1" applyAlignment="1" applyProtection="1">
      <alignment horizontal="center" vertical="center"/>
      <protection locked="0"/>
    </xf>
    <xf numFmtId="0" fontId="5" fillId="3" borderId="0" xfId="0" applyFont="1" applyFill="1" applyAlignment="1" applyProtection="1">
      <alignment horizontal="center"/>
      <protection locked="0"/>
    </xf>
    <xf numFmtId="0" fontId="19" fillId="2" borderId="0" xfId="0" applyFont="1" applyFill="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15" fillId="2" borderId="0" xfId="0" applyFont="1" applyFill="1" applyAlignment="1">
      <alignment horizontal="center" vertical="center"/>
    </xf>
    <xf numFmtId="0" fontId="6" fillId="2" borderId="0" xfId="0" applyFont="1" applyFill="1" applyAlignment="1">
      <alignment indent="1"/>
    </xf>
    <xf numFmtId="0" fontId="16" fillId="2" borderId="0" xfId="0" applyFont="1" applyFill="1" applyAlignment="1">
      <alignment horizontal="center" vertical="center"/>
    </xf>
    <xf numFmtId="0" fontId="5"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6349</xdr:colOff>
      <xdr:row>0</xdr:row>
      <xdr:rowOff>0</xdr:rowOff>
    </xdr:from>
    <xdr:to>
      <xdr:col>0</xdr:col>
      <xdr:colOff>2157412</xdr:colOff>
      <xdr:row>0</xdr:row>
      <xdr:rowOff>694958</xdr:rowOff>
    </xdr:to>
    <xdr:pic>
      <xdr:nvPicPr>
        <xdr:cNvPr id="2" name="FreedomGameplanLogo">
          <a:extLst>
            <a:ext uri="{FF2B5EF4-FFF2-40B4-BE49-F238E27FC236}">
              <a16:creationId xmlns:a16="http://schemas.microsoft.com/office/drawing/2014/main" id="{BE0C3E48-7AAD-8ED7-2B50-39444D3BC163}"/>
            </a:ext>
          </a:extLst>
        </xdr:cNvPr>
        <xdr:cNvPicPr>
          <a:picLocks noChangeAspect="1"/>
        </xdr:cNvPicPr>
      </xdr:nvPicPr>
      <xdr:blipFill>
        <a:blip xmlns:r="http://schemas.openxmlformats.org/officeDocument/2006/relationships" r:embed="rId1"/>
        <a:stretch>
          <a:fillRect/>
        </a:stretch>
      </xdr:blipFill>
      <xdr:spPr>
        <a:xfrm>
          <a:off x="6349" y="0"/>
          <a:ext cx="2151063" cy="694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50800</xdr:rowOff>
    </xdr:from>
    <xdr:to>
      <xdr:col>0</xdr:col>
      <xdr:colOff>1752600</xdr:colOff>
      <xdr:row>0</xdr:row>
      <xdr:rowOff>584200</xdr:rowOff>
    </xdr:to>
    <xdr:pic>
      <xdr:nvPicPr>
        <xdr:cNvPr id="2" name="FreedomGameplanLogo">
          <a:extLst>
            <a:ext uri="{FF2B5EF4-FFF2-40B4-BE49-F238E27FC236}">
              <a16:creationId xmlns:a16="http://schemas.microsoft.com/office/drawing/2014/main" id="{98ADCACB-50DF-BF7F-590A-FC8B45C8EA91}"/>
            </a:ext>
          </a:extLst>
        </xdr:cNvPr>
        <xdr:cNvPicPr>
          <a:picLocks noChangeAspect="1"/>
        </xdr:cNvPicPr>
      </xdr:nvPicPr>
      <xdr:blipFill>
        <a:blip xmlns:r="http://schemas.openxmlformats.org/officeDocument/2006/relationships" r:embed="rId1"/>
        <a:stretch>
          <a:fillRect/>
        </a:stretch>
      </xdr:blipFill>
      <xdr:spPr>
        <a:xfrm>
          <a:off x="101600" y="50800"/>
          <a:ext cx="1651000" cy="53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101600</xdr:colOff>
      <xdr:row>0</xdr:row>
      <xdr:rowOff>50800</xdr:rowOff>
    </xdr:from>
    <xdr:to>
      <xdr:col>1</xdr:col>
      <xdr:colOff>990600</xdr:colOff>
      <xdr:row>0</xdr:row>
      <xdr:rowOff>584200</xdr:rowOff>
    </xdr:to>
    <xdr:pic>
      <xdr:nvPicPr>
        <xdr:cNvPr id="2" name="FreedomGameplanLogo">
          <a:extLst>
            <a:ext uri="{FF2B5EF4-FFF2-40B4-BE49-F238E27FC236}">
              <a16:creationId xmlns:a16="http://schemas.microsoft.com/office/drawing/2014/main" id="{D307C04C-9322-8505-FFFF-C7F63FF2D691}"/>
            </a:ext>
          </a:extLst>
        </xdr:cNvPr>
        <xdr:cNvPicPr>
          <a:picLocks noChangeAspect="1"/>
        </xdr:cNvPicPr>
      </xdr:nvPicPr>
      <xdr:blipFill>
        <a:blip xmlns:r="http://schemas.openxmlformats.org/officeDocument/2006/relationships" r:embed="rId1"/>
        <a:stretch>
          <a:fillRect/>
        </a:stretch>
      </xdr:blipFill>
      <xdr:spPr>
        <a:xfrm>
          <a:off x="101600" y="50800"/>
          <a:ext cx="1651000" cy="53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D45BBA8-01C9-4798-B7D1-53694F1ED2E4}">
  <we:reference id="wa200009404" version="1.0.0.8" store="en-US" storeType="OMEX"/>
  <we:alternateReferences>
    <we:reference id="wa200009404" version="1.0.0.8" store="en-US" storeType="OMEX"/>
  </we:alternateReferences>
  <we:properties>
    <we:property name="claude.fileId" value="&quot;7eaee6ef-3069-458a-b99b-4f7ebd690f5c&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85A9-1C0F-4946-AC2E-2C4668C974DF}">
  <dimension ref="A1:D70"/>
  <sheetViews>
    <sheetView tabSelected="1" zoomScale="86" workbookViewId="0">
      <pane ySplit="3" topLeftCell="A4" activePane="bottomLeft" state="frozen"/>
      <selection pane="bottomLeft" activeCell="B7" sqref="B7"/>
    </sheetView>
  </sheetViews>
  <sheetFormatPr defaultRowHeight="14.25" x14ac:dyDescent="0.45"/>
  <cols>
    <col min="1" max="1" width="51.53125" customWidth="1"/>
    <col min="2" max="2" width="25.796875" customWidth="1"/>
    <col min="3" max="3" width="42.6640625" customWidth="1"/>
    <col min="4" max="4" width="27.19921875" customWidth="1"/>
  </cols>
  <sheetData>
    <row r="1" spans="1:4" ht="55.05" customHeight="1" x14ac:dyDescent="0.45">
      <c r="A1" s="66" t="s">
        <v>18</v>
      </c>
      <c r="B1" s="66"/>
      <c r="C1" s="66"/>
      <c r="D1" s="66"/>
    </row>
    <row r="2" spans="1:4" ht="77.25" customHeight="1" x14ac:dyDescent="0.45">
      <c r="A2" s="68" t="s">
        <v>87</v>
      </c>
      <c r="B2" s="69"/>
      <c r="C2" s="69"/>
      <c r="D2" s="69"/>
    </row>
    <row r="3" spans="1:4" ht="22.05" customHeight="1" x14ac:dyDescent="0.45">
      <c r="A3" s="67" t="s">
        <v>19</v>
      </c>
      <c r="B3" s="67"/>
      <c r="C3" s="67"/>
      <c r="D3" s="67"/>
    </row>
    <row r="4" spans="1:4" x14ac:dyDescent="0.45">
      <c r="A4" s="43"/>
      <c r="B4" s="43"/>
      <c r="C4" s="43"/>
      <c r="D4" s="43"/>
    </row>
    <row r="5" spans="1:4" x14ac:dyDescent="0.45">
      <c r="A5" s="65" t="s">
        <v>20</v>
      </c>
      <c r="B5" s="65"/>
      <c r="C5" s="65"/>
      <c r="D5" s="65"/>
    </row>
    <row r="6" spans="1:4" ht="14.65" thickBot="1" x14ac:dyDescent="0.5">
      <c r="A6" s="44" t="s">
        <v>21</v>
      </c>
      <c r="B6" s="4">
        <v>130000</v>
      </c>
      <c r="C6" s="44"/>
      <c r="D6" s="44"/>
    </row>
    <row r="7" spans="1:4" ht="14.65" thickBot="1" x14ac:dyDescent="0.5">
      <c r="A7" s="44" t="s">
        <v>22</v>
      </c>
      <c r="B7" s="5">
        <v>15000</v>
      </c>
      <c r="C7" s="45" t="s">
        <v>90</v>
      </c>
      <c r="D7" s="46" t="str">
        <f>IF(AND(B8="Concessional",B7&gt;B6),"⚠ Contribution exceeds salary — not possible",IF(B13&lt;'Tax Rates'!$B$12,"⚠ Your MTR is below the 15% contributions tax. Concessional FHSS will COST you tax, not save it.",""))</f>
        <v/>
      </c>
    </row>
    <row r="8" spans="1:4" ht="14.65" thickBot="1" x14ac:dyDescent="0.5">
      <c r="A8" s="44" t="s">
        <v>23</v>
      </c>
      <c r="B8" s="6" t="s">
        <v>24</v>
      </c>
      <c r="C8" s="45" t="s">
        <v>25</v>
      </c>
      <c r="D8" s="44"/>
    </row>
    <row r="9" spans="1:4" ht="14.65" thickBot="1" x14ac:dyDescent="0.5">
      <c r="A9" s="44" t="s">
        <v>26</v>
      </c>
      <c r="B9" s="7">
        <v>3</v>
      </c>
      <c r="C9" s="44"/>
      <c r="D9" s="44"/>
    </row>
    <row r="10" spans="1:4" ht="14.65" thickBot="1" x14ac:dyDescent="0.5">
      <c r="A10" s="47" t="s">
        <v>27</v>
      </c>
      <c r="B10" s="7">
        <v>3</v>
      </c>
      <c r="C10" s="47"/>
      <c r="D10" s="47"/>
    </row>
    <row r="11" spans="1:4" ht="14.65" thickBot="1" x14ac:dyDescent="0.5">
      <c r="A11" s="44" t="s">
        <v>83</v>
      </c>
      <c r="B11" s="42" t="s">
        <v>84</v>
      </c>
      <c r="C11" s="48" t="str">
        <f>IF(B11="Auto",IF(B6&gt;'Tax Rates'!$B$19,"⚠ Auto-applied: salary &gt; $250k threshold","Auto: not triggered (salary &lt; $250k)"),IF(B11="Yes","Manually applied (+15% on contributions)","Manually disabled"))</f>
        <v>Auto: not triggered (salary &lt; $250k)</v>
      </c>
      <c r="D11" s="43"/>
    </row>
    <row r="12" spans="1:4" x14ac:dyDescent="0.45">
      <c r="A12" s="65" t="s">
        <v>28</v>
      </c>
      <c r="B12" s="65"/>
      <c r="C12" s="65"/>
      <c r="D12" s="65"/>
    </row>
    <row r="13" spans="1:4" ht="14.65" thickBot="1" x14ac:dyDescent="0.5">
      <c r="A13" s="44" t="s">
        <v>79</v>
      </c>
      <c r="B13" s="63">
        <f>IF(B6&lt;='Tax Rates'!$B$4,0,INDEX('Tax Rates'!$C$4:$C$8,MATCH(B6,'Tax Rates'!$A$4:$A$8,1))+'Tax Rates'!$B$11)</f>
        <v>0.32</v>
      </c>
      <c r="C13" s="49" t="s">
        <v>91</v>
      </c>
      <c r="D13" s="44"/>
    </row>
    <row r="14" spans="1:4" x14ac:dyDescent="0.45">
      <c r="A14" s="44" t="s">
        <v>92</v>
      </c>
      <c r="B14" s="50">
        <f>MAX(0,INDEX('Tax Rates'!$D$4:$D$8,MATCH(B6,'Tax Rates'!$A$4:$A$8,1))+(B6-INDEX('Tax Rates'!$A$4:$A$8,MATCH(B6,'Tax Rates'!$A$4:$A$8,1)))*INDEX('Tax Rates'!$C$4:$C$8,MATCH(B6,'Tax Rates'!$A$4:$A$8,1)))+IF(B6&gt;'Tax Rates'!$B$4,B6*'Tax Rates'!$B$11,0)</f>
        <v>32387.7</v>
      </c>
      <c r="C14" s="44"/>
      <c r="D14" s="44"/>
    </row>
    <row r="15" spans="1:4" x14ac:dyDescent="0.45">
      <c r="A15" s="45" t="s">
        <v>93</v>
      </c>
      <c r="B15" s="44"/>
      <c r="C15" s="44"/>
      <c r="D15" s="44"/>
    </row>
    <row r="16" spans="1:4" x14ac:dyDescent="0.45">
      <c r="A16" s="44" t="s">
        <v>29</v>
      </c>
      <c r="B16" s="51">
        <f>B14</f>
        <v>32387.7</v>
      </c>
      <c r="C16" s="44"/>
      <c r="D16" s="44"/>
    </row>
    <row r="17" spans="1:4" x14ac:dyDescent="0.45">
      <c r="A17" s="47" t="s">
        <v>30</v>
      </c>
      <c r="B17" s="52">
        <f>B6-B16</f>
        <v>97612.3</v>
      </c>
      <c r="C17" s="47"/>
      <c r="D17" s="47"/>
    </row>
    <row r="18" spans="1:4" x14ac:dyDescent="0.45">
      <c r="A18" s="43"/>
      <c r="B18" s="43"/>
      <c r="C18" s="43"/>
      <c r="D18" s="43"/>
    </row>
    <row r="19" spans="1:4" x14ac:dyDescent="0.45">
      <c r="A19" s="65" t="s">
        <v>31</v>
      </c>
      <c r="B19" s="65"/>
      <c r="C19" s="65"/>
      <c r="D19" s="65"/>
    </row>
    <row r="20" spans="1:4" x14ac:dyDescent="0.45">
      <c r="A20" s="44" t="s">
        <v>32</v>
      </c>
      <c r="B20" s="50">
        <f>IF(B8="Concessional",MAX(B6-B7,0),B6)</f>
        <v>115000</v>
      </c>
      <c r="C20" s="44"/>
      <c r="D20" s="44"/>
    </row>
    <row r="21" spans="1:4" x14ac:dyDescent="0.45">
      <c r="A21" s="44" t="s">
        <v>94</v>
      </c>
      <c r="B21" s="50">
        <f>MAX(0,INDEX('Tax Rates'!$D$4:$D$8,MATCH(B20,'Tax Rates'!$A$4:$A$8,1))+(B20-INDEX('Tax Rates'!$A$4:$A$8,MATCH(B20,'Tax Rates'!$A$4:$A$8,1)))*INDEX('Tax Rates'!$C$4:$C$8,MATCH(B20,'Tax Rates'!$A$4:$A$8,1)))+IF(B20&gt;'Tax Rates'!$B$4,B20*'Tax Rates'!$B$11,0)</f>
        <v>27587.7</v>
      </c>
      <c r="C21" s="44"/>
      <c r="D21" s="44"/>
    </row>
    <row r="22" spans="1:4" x14ac:dyDescent="0.45">
      <c r="A22" s="45" t="s">
        <v>93</v>
      </c>
      <c r="B22" s="44"/>
      <c r="C22" s="44"/>
      <c r="D22" s="44"/>
    </row>
    <row r="23" spans="1:4" x14ac:dyDescent="0.45">
      <c r="A23" s="44" t="s">
        <v>85</v>
      </c>
      <c r="B23" s="50">
        <f>IF(B8="Concessional",B7*('Tax Rates'!$B$12+IF(OR(B11="Yes",AND(B11="Auto",B6&gt;'Tax Rates'!$B$19)),'Tax Rates'!$B$18,0)),0)</f>
        <v>2250</v>
      </c>
      <c r="C23" s="44"/>
      <c r="D23" s="44"/>
    </row>
    <row r="24" spans="1:4" x14ac:dyDescent="0.45">
      <c r="A24" s="44" t="s">
        <v>33</v>
      </c>
      <c r="B24" s="51">
        <f>B21+B23</f>
        <v>29837.7</v>
      </c>
      <c r="C24" s="44"/>
      <c r="D24" s="44"/>
    </row>
    <row r="25" spans="1:4" x14ac:dyDescent="0.45">
      <c r="A25" s="44" t="s">
        <v>86</v>
      </c>
      <c r="B25" s="50">
        <f>IF(B8="Concessional",B7*(1-('Tax Rates'!$B$12+IF(OR(B11="Yes",AND(B11="Auto",B6&gt;'Tax Rates'!$B$19)),'Tax Rates'!$B$18,0))),B7)</f>
        <v>12750</v>
      </c>
      <c r="C25" s="44"/>
      <c r="D25" s="44"/>
    </row>
    <row r="26" spans="1:4" x14ac:dyDescent="0.45">
      <c r="A26" s="47" t="s">
        <v>34</v>
      </c>
      <c r="B26" s="52">
        <f>B20-B21</f>
        <v>87412.3</v>
      </c>
      <c r="C26" s="47"/>
      <c r="D26" s="47"/>
    </row>
    <row r="27" spans="1:4" x14ac:dyDescent="0.45">
      <c r="A27" s="43"/>
      <c r="B27" s="43"/>
      <c r="C27" s="43"/>
      <c r="D27" s="43"/>
    </row>
    <row r="28" spans="1:4" x14ac:dyDescent="0.45">
      <c r="A28" s="65" t="s">
        <v>35</v>
      </c>
      <c r="B28" s="65"/>
      <c r="C28" s="65"/>
      <c r="D28" s="65"/>
    </row>
    <row r="29" spans="1:4" x14ac:dyDescent="0.45">
      <c r="A29" s="44" t="s">
        <v>36</v>
      </c>
      <c r="B29" s="53">
        <f>B16-B24</f>
        <v>2550</v>
      </c>
      <c r="C29" s="54" t="str">
        <f>IF(B29&lt;0,"⚠ Warning: At this income level FHSS contributions tax (15%) exceeds your income tax saving. FHSS may not be beneficial — seek advice.","")</f>
        <v/>
      </c>
      <c r="D29" s="44"/>
    </row>
    <row r="30" spans="1:4" x14ac:dyDescent="0.45">
      <c r="A30" s="47" t="s">
        <v>37</v>
      </c>
      <c r="B30" s="55">
        <f>IFERROR(B29/B7,0)</f>
        <v>0.17</v>
      </c>
      <c r="C30" s="47"/>
      <c r="D30" s="47"/>
    </row>
    <row r="31" spans="1:4" x14ac:dyDescent="0.45">
      <c r="A31" s="43"/>
      <c r="B31" s="43"/>
      <c r="C31" s="43"/>
      <c r="D31" s="43"/>
    </row>
    <row r="32" spans="1:4" x14ac:dyDescent="0.45">
      <c r="A32" s="65" t="s">
        <v>38</v>
      </c>
      <c r="B32" s="65"/>
      <c r="C32" s="65"/>
      <c r="D32" s="65"/>
    </row>
    <row r="33" spans="1:4" x14ac:dyDescent="0.45">
      <c r="A33" s="44" t="s">
        <v>39</v>
      </c>
      <c r="B33" s="50">
        <f>MIN(B7*B9,'Tax Rates'!$B$16)</f>
        <v>45000</v>
      </c>
      <c r="C33" s="45" t="s">
        <v>40</v>
      </c>
      <c r="D33" s="44"/>
    </row>
    <row r="34" spans="1:4" x14ac:dyDescent="0.45">
      <c r="A34" s="44" t="s">
        <v>41</v>
      </c>
      <c r="B34" s="50">
        <f>IF(B8="Concessional",B33*(1-'Tax Rates'!$B$12),B33)</f>
        <v>38250</v>
      </c>
      <c r="C34" s="44"/>
      <c r="D34" s="44"/>
    </row>
    <row r="35" spans="1:4" x14ac:dyDescent="0.45">
      <c r="A35" s="44" t="s">
        <v>42</v>
      </c>
      <c r="B35" s="50">
        <f>B34*((1+'Tax Rates'!$B$17)^B10-1)</f>
        <v>8607.8947500000031</v>
      </c>
      <c r="C35" s="49" t="s">
        <v>89</v>
      </c>
      <c r="D35" s="44"/>
    </row>
    <row r="36" spans="1:4" x14ac:dyDescent="0.45">
      <c r="A36" s="44" t="s">
        <v>43</v>
      </c>
      <c r="B36" s="51">
        <f>B34+B35</f>
        <v>46857.894750000007</v>
      </c>
      <c r="C36" s="44"/>
      <c r="D36" s="44"/>
    </row>
    <row r="37" spans="1:4" x14ac:dyDescent="0.45">
      <c r="A37" s="44" t="s">
        <v>44</v>
      </c>
      <c r="B37" s="50">
        <f>IF(B8="Concessional",B34+B35,B35)</f>
        <v>46857.894750000007</v>
      </c>
      <c r="C37" s="44"/>
      <c r="D37" s="44"/>
    </row>
    <row r="38" spans="1:4" x14ac:dyDescent="0.45">
      <c r="A38" s="44" t="s">
        <v>45</v>
      </c>
      <c r="B38" s="56">
        <f>MAX(B13-'Tax Rates'!$B$13,0)</f>
        <v>2.0000000000000018E-2</v>
      </c>
      <c r="C38" s="44"/>
      <c r="D38" s="44"/>
    </row>
    <row r="39" spans="1:4" x14ac:dyDescent="0.45">
      <c r="A39" s="44" t="s">
        <v>46</v>
      </c>
      <c r="B39" s="50">
        <f>B37*B38</f>
        <v>937.15789500000096</v>
      </c>
      <c r="C39" s="44"/>
      <c r="D39" s="44"/>
    </row>
    <row r="40" spans="1:4" x14ac:dyDescent="0.45">
      <c r="A40" s="47" t="s">
        <v>47</v>
      </c>
      <c r="B40" s="57">
        <f>B36-B39</f>
        <v>45920.736855000003</v>
      </c>
      <c r="C40" s="47"/>
      <c r="D40" s="47"/>
    </row>
    <row r="41" spans="1:4" x14ac:dyDescent="0.45">
      <c r="A41" s="43"/>
      <c r="B41" s="43"/>
      <c r="C41" s="43"/>
      <c r="D41" s="43"/>
    </row>
    <row r="42" spans="1:4" x14ac:dyDescent="0.45">
      <c r="A42" s="65" t="s">
        <v>48</v>
      </c>
      <c r="B42" s="65"/>
      <c r="C42" s="65"/>
      <c r="D42" s="65"/>
    </row>
    <row r="43" spans="1:4" x14ac:dyDescent="0.45">
      <c r="A43" s="43"/>
      <c r="B43" s="43"/>
      <c r="C43" s="43"/>
      <c r="D43" s="43"/>
    </row>
    <row r="44" spans="1:4" x14ac:dyDescent="0.45">
      <c r="A44" s="58"/>
      <c r="B44" s="58" t="s">
        <v>49</v>
      </c>
      <c r="C44" s="58" t="s">
        <v>50</v>
      </c>
      <c r="D44" s="58" t="s">
        <v>51</v>
      </c>
    </row>
    <row r="45" spans="1:4" x14ac:dyDescent="0.45">
      <c r="A45" s="44" t="s">
        <v>52</v>
      </c>
      <c r="B45" s="50">
        <f>B7*B9</f>
        <v>45000</v>
      </c>
      <c r="C45" s="50">
        <f>B7*B9</f>
        <v>45000</v>
      </c>
      <c r="D45" s="59" t="s">
        <v>53</v>
      </c>
    </row>
    <row r="46" spans="1:4" x14ac:dyDescent="0.45">
      <c r="A46" s="44" t="s">
        <v>54</v>
      </c>
      <c r="B46" s="50">
        <f>IF(B8="Concessional",B45*('Tax Rates'!$B$12+IF(OR(B11="Yes",AND(B11="Auto",B6&gt;'Tax Rates'!$B$19)),'Tax Rates'!$B$18,0)),B45*B13)</f>
        <v>6750</v>
      </c>
      <c r="C46" s="50">
        <f>B45*B13</f>
        <v>14400</v>
      </c>
      <c r="D46" s="51">
        <f>C46-B46</f>
        <v>7650</v>
      </c>
    </row>
    <row r="47" spans="1:4" x14ac:dyDescent="0.45">
      <c r="A47" s="44" t="s">
        <v>55</v>
      </c>
      <c r="B47" s="50">
        <f>B45-B46</f>
        <v>38250</v>
      </c>
      <c r="C47" s="50">
        <f>C45-C46</f>
        <v>30600</v>
      </c>
      <c r="D47" s="51">
        <f>B47-C47</f>
        <v>7650</v>
      </c>
    </row>
    <row r="48" spans="1:4" x14ac:dyDescent="0.45">
      <c r="A48" s="44" t="s">
        <v>56</v>
      </c>
      <c r="B48" s="60">
        <f>'Tax Rates'!$B$17</f>
        <v>7.0000000000000007E-2</v>
      </c>
      <c r="C48" s="60">
        <f>'Tax Rates'!$B$17</f>
        <v>7.0000000000000007E-2</v>
      </c>
      <c r="D48" s="59" t="s">
        <v>53</v>
      </c>
    </row>
    <row r="49" spans="1:4" x14ac:dyDescent="0.45">
      <c r="A49" s="44" t="s">
        <v>57</v>
      </c>
      <c r="B49" s="50">
        <f>B47*((1+B48)^B10-1)</f>
        <v>8607.8947500000031</v>
      </c>
      <c r="C49" s="50">
        <f>C47*((1+C48)^B10-1)</f>
        <v>6886.315800000003</v>
      </c>
      <c r="D49" s="50">
        <f>B49-C49</f>
        <v>1721.5789500000001</v>
      </c>
    </row>
    <row r="50" spans="1:4" x14ac:dyDescent="0.45">
      <c r="A50" s="44" t="s">
        <v>58</v>
      </c>
      <c r="B50" s="50">
        <f>B49*MAX(B13-'Tax Rates'!$B$13,0)</f>
        <v>172.15789500000022</v>
      </c>
      <c r="C50" s="50">
        <f>C49*B13</f>
        <v>2203.6210560000009</v>
      </c>
      <c r="D50" s="51">
        <f>C50-B50</f>
        <v>2031.4631610000006</v>
      </c>
    </row>
    <row r="51" spans="1:4" x14ac:dyDescent="0.45">
      <c r="A51" s="61" t="s">
        <v>59</v>
      </c>
      <c r="B51" s="57">
        <f>B47+B49-B50</f>
        <v>46685.73685500001</v>
      </c>
      <c r="C51" s="57">
        <f>C47+C49-C50</f>
        <v>35282.694744</v>
      </c>
      <c r="D51" s="62">
        <f>B51-C51</f>
        <v>11403.04211100001</v>
      </c>
    </row>
    <row r="52" spans="1:4" x14ac:dyDescent="0.45">
      <c r="A52" s="43"/>
      <c r="B52" s="43"/>
      <c r="C52" s="43"/>
      <c r="D52" s="43"/>
    </row>
    <row r="53" spans="1:4" x14ac:dyDescent="0.45">
      <c r="A53" s="65" t="s">
        <v>60</v>
      </c>
      <c r="B53" s="65"/>
      <c r="C53" s="65"/>
      <c r="D53" s="65"/>
    </row>
    <row r="54" spans="1:4" x14ac:dyDescent="0.45">
      <c r="A54" s="44" t="s">
        <v>61</v>
      </c>
      <c r="B54" s="53">
        <f>B29*B9</f>
        <v>7650</v>
      </c>
      <c r="C54" s="44"/>
      <c r="D54" s="44"/>
    </row>
    <row r="55" spans="1:4" x14ac:dyDescent="0.45">
      <c r="A55" s="47" t="s">
        <v>62</v>
      </c>
      <c r="B55" s="62">
        <f>D51</f>
        <v>11403.04211100001</v>
      </c>
      <c r="C55" s="47"/>
      <c r="D55" s="47"/>
    </row>
    <row r="56" spans="1:4" x14ac:dyDescent="0.45">
      <c r="A56" s="43"/>
      <c r="B56" s="43"/>
      <c r="C56" s="43"/>
      <c r="D56" s="43"/>
    </row>
    <row r="57" spans="1:4" x14ac:dyDescent="0.45">
      <c r="A57" s="43"/>
      <c r="B57" s="43"/>
      <c r="C57" s="43"/>
      <c r="D57" s="43"/>
    </row>
    <row r="58" spans="1:4" x14ac:dyDescent="0.45">
      <c r="A58" s="64" t="s">
        <v>88</v>
      </c>
      <c r="B58" s="64"/>
      <c r="C58" s="64"/>
      <c r="D58" s="64"/>
    </row>
    <row r="59" spans="1:4" x14ac:dyDescent="0.45">
      <c r="A59" s="43"/>
      <c r="B59" s="43"/>
      <c r="C59" s="43"/>
      <c r="D59" s="43"/>
    </row>
    <row r="60" spans="1:4" x14ac:dyDescent="0.45">
      <c r="A60" s="43"/>
      <c r="B60" s="43"/>
      <c r="C60" s="43"/>
      <c r="D60" s="43"/>
    </row>
    <row r="61" spans="1:4" x14ac:dyDescent="0.45">
      <c r="A61" s="43"/>
      <c r="B61" s="43"/>
      <c r="C61" s="43"/>
      <c r="D61" s="43"/>
    </row>
    <row r="62" spans="1:4" x14ac:dyDescent="0.45">
      <c r="A62" s="43"/>
      <c r="B62" s="43"/>
      <c r="C62" s="43"/>
      <c r="D62" s="43"/>
    </row>
    <row r="63" spans="1:4" x14ac:dyDescent="0.45">
      <c r="A63" s="43"/>
      <c r="B63" s="43"/>
      <c r="C63" s="43"/>
      <c r="D63" s="43"/>
    </row>
    <row r="64" spans="1:4" x14ac:dyDescent="0.45">
      <c r="A64" s="43"/>
      <c r="B64" s="43"/>
      <c r="C64" s="43"/>
      <c r="D64" s="43"/>
    </row>
    <row r="65" spans="1:4" x14ac:dyDescent="0.45">
      <c r="A65" s="43"/>
      <c r="B65" s="43"/>
      <c r="C65" s="43"/>
      <c r="D65" s="43"/>
    </row>
    <row r="66" spans="1:4" x14ac:dyDescent="0.45">
      <c r="A66" s="43"/>
      <c r="B66" s="43"/>
      <c r="C66" s="43"/>
      <c r="D66" s="43"/>
    </row>
    <row r="67" spans="1:4" x14ac:dyDescent="0.45">
      <c r="A67" s="43"/>
      <c r="B67" s="43"/>
      <c r="C67" s="43"/>
      <c r="D67" s="43"/>
    </row>
    <row r="68" spans="1:4" x14ac:dyDescent="0.45">
      <c r="A68" s="43"/>
      <c r="B68" s="43"/>
      <c r="C68" s="43"/>
      <c r="D68" s="43"/>
    </row>
    <row r="69" spans="1:4" x14ac:dyDescent="0.45">
      <c r="A69" s="43"/>
      <c r="B69" s="43"/>
      <c r="C69" s="43"/>
      <c r="D69" s="43"/>
    </row>
    <row r="70" spans="1:4" x14ac:dyDescent="0.45">
      <c r="A70" s="43"/>
      <c r="B70" s="43"/>
      <c r="C70" s="43"/>
      <c r="D70" s="43"/>
    </row>
  </sheetData>
  <sheetProtection sheet="1" objects="1" scenarios="1" formatCells="0" formatColumns="0" formatRows="0" sort="0" autoFilter="0"/>
  <mergeCells count="11">
    <mergeCell ref="A1:D1"/>
    <mergeCell ref="A3:D3"/>
    <mergeCell ref="A5:D5"/>
    <mergeCell ref="A12:D12"/>
    <mergeCell ref="A19:D19"/>
    <mergeCell ref="A2:D2"/>
    <mergeCell ref="A58:D58"/>
    <mergeCell ref="A28:D28"/>
    <mergeCell ref="A32:D32"/>
    <mergeCell ref="A42:D42"/>
    <mergeCell ref="A53:D53"/>
  </mergeCells>
  <dataValidations count="3">
    <dataValidation type="list" allowBlank="1" showInputMessage="1" showErrorMessage="1" sqref="B8" xr:uid="{F70130FD-D205-4693-A6ED-0C546F444F11}">
      <formula1>"Concessional,Non-concessional"</formula1>
    </dataValidation>
    <dataValidation type="list" allowBlank="1" showInputMessage="1" showErrorMessage="1" sqref="B13" xr:uid="{65D9F488-A8C3-4E48-9596-34BDA97D664F}">
      <formula1>"0%,18%,32%,39%,47%"</formula1>
    </dataValidation>
    <dataValidation type="list" allowBlank="1" showInputMessage="1" showErrorMessage="1" sqref="B11" xr:uid="{5B1FBDB4-B230-48CB-B0DB-C0EF2076E208}">
      <formula1>"Auto,Yes,No"</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E69C5-2BDC-4D58-B8CF-0FA1C9ED8000}">
  <dimension ref="A1:E21"/>
  <sheetViews>
    <sheetView workbookViewId="0">
      <selection activeCell="D19" sqref="D19"/>
    </sheetView>
  </sheetViews>
  <sheetFormatPr defaultRowHeight="14.25" x14ac:dyDescent="0.45"/>
  <cols>
    <col min="1" max="1" width="49.796875" customWidth="1"/>
    <col min="2" max="2" width="23.1328125" customWidth="1"/>
    <col min="3" max="3" width="19.53125" customWidth="1"/>
    <col min="4" max="4" width="24.86328125" customWidth="1"/>
    <col min="5" max="5" width="51.53125" customWidth="1"/>
  </cols>
  <sheetData>
    <row r="1" spans="1:5" ht="55.05" customHeight="1" x14ac:dyDescent="0.45">
      <c r="A1" s="70">
        <v>500</v>
      </c>
      <c r="B1" s="70"/>
      <c r="C1" s="70"/>
      <c r="D1" s="70"/>
      <c r="E1" s="70"/>
    </row>
    <row r="3" spans="1:5" x14ac:dyDescent="0.45">
      <c r="A3" s="3" t="s">
        <v>0</v>
      </c>
      <c r="B3" s="3" t="s">
        <v>1</v>
      </c>
      <c r="C3" s="3" t="s">
        <v>2</v>
      </c>
      <c r="D3" s="3" t="s">
        <v>3</v>
      </c>
      <c r="E3" s="3" t="s">
        <v>4</v>
      </c>
    </row>
    <row r="4" spans="1:5" x14ac:dyDescent="0.45">
      <c r="A4" s="8">
        <v>0</v>
      </c>
      <c r="B4" s="8">
        <v>18200</v>
      </c>
      <c r="C4" s="9">
        <v>0</v>
      </c>
      <c r="D4" s="8">
        <v>0</v>
      </c>
      <c r="E4" s="2" t="s">
        <v>5</v>
      </c>
    </row>
    <row r="5" spans="1:5" x14ac:dyDescent="0.45">
      <c r="A5" s="10">
        <v>18201</v>
      </c>
      <c r="B5" s="10">
        <v>45000</v>
      </c>
      <c r="C5" s="11">
        <v>0.16</v>
      </c>
      <c r="D5" s="10">
        <v>0</v>
      </c>
      <c r="E5" s="12" t="s">
        <v>6</v>
      </c>
    </row>
    <row r="6" spans="1:5" x14ac:dyDescent="0.45">
      <c r="A6" s="10">
        <v>45001</v>
      </c>
      <c r="B6" s="10">
        <v>135000</v>
      </c>
      <c r="C6" s="11">
        <v>0.3</v>
      </c>
      <c r="D6" s="10">
        <v>4288</v>
      </c>
      <c r="E6" s="12" t="s">
        <v>7</v>
      </c>
    </row>
    <row r="7" spans="1:5" x14ac:dyDescent="0.45">
      <c r="A7" s="10">
        <v>135001</v>
      </c>
      <c r="B7" s="10">
        <v>190000</v>
      </c>
      <c r="C7" s="11">
        <v>0.37</v>
      </c>
      <c r="D7" s="10">
        <v>31288</v>
      </c>
      <c r="E7" s="12" t="s">
        <v>8</v>
      </c>
    </row>
    <row r="8" spans="1:5" x14ac:dyDescent="0.45">
      <c r="A8" s="13">
        <v>190001</v>
      </c>
      <c r="B8" s="13">
        <v>99999999</v>
      </c>
      <c r="C8" s="14">
        <v>0.45</v>
      </c>
      <c r="D8" s="13">
        <v>51638</v>
      </c>
      <c r="E8" s="15" t="s">
        <v>9</v>
      </c>
    </row>
    <row r="10" spans="1:5" x14ac:dyDescent="0.45">
      <c r="A10" s="71" t="s">
        <v>10</v>
      </c>
      <c r="B10" s="71"/>
    </row>
    <row r="11" spans="1:5" x14ac:dyDescent="0.45">
      <c r="A11" s="2" t="s">
        <v>11</v>
      </c>
      <c r="B11" s="9">
        <v>0.02</v>
      </c>
    </row>
    <row r="12" spans="1:5" x14ac:dyDescent="0.45">
      <c r="A12" s="12" t="s">
        <v>12</v>
      </c>
      <c r="B12" s="11">
        <v>0.15</v>
      </c>
    </row>
    <row r="13" spans="1:5" x14ac:dyDescent="0.45">
      <c r="A13" s="12" t="s">
        <v>13</v>
      </c>
      <c r="B13" s="11">
        <v>0.3</v>
      </c>
    </row>
    <row r="14" spans="1:5" x14ac:dyDescent="0.45">
      <c r="A14" s="12" t="s">
        <v>14</v>
      </c>
      <c r="B14" s="16">
        <v>30000</v>
      </c>
    </row>
    <row r="15" spans="1:5" x14ac:dyDescent="0.45">
      <c r="A15" s="12" t="s">
        <v>15</v>
      </c>
      <c r="B15" s="16">
        <v>15000</v>
      </c>
    </row>
    <row r="16" spans="1:5" x14ac:dyDescent="0.45">
      <c r="A16" s="12" t="s">
        <v>16</v>
      </c>
      <c r="B16" s="37">
        <v>50000</v>
      </c>
    </row>
    <row r="17" spans="1:2" ht="14.65" thickBot="1" x14ac:dyDescent="0.5">
      <c r="A17" s="17" t="s">
        <v>17</v>
      </c>
      <c r="B17" s="38">
        <v>7.0000000000000007E-2</v>
      </c>
    </row>
    <row r="18" spans="1:2" x14ac:dyDescent="0.45">
      <c r="A18" s="1" t="s">
        <v>80</v>
      </c>
      <c r="B18" s="40">
        <v>0.15</v>
      </c>
    </row>
    <row r="19" spans="1:2" x14ac:dyDescent="0.45">
      <c r="A19" s="18" t="s">
        <v>81</v>
      </c>
      <c r="B19" s="39">
        <v>250000</v>
      </c>
    </row>
    <row r="21" spans="1:2" x14ac:dyDescent="0.45">
      <c r="A21" s="41" t="s">
        <v>82</v>
      </c>
    </row>
  </sheetData>
  <sheetProtection algorithmName="SHA-512" hashValue="/1hrVLMAa5+XYuDby3dNunLTm7Mha1vNYL0j8i002DGYCSfy3/W2S3YprbL0a1pN4qMHf0UIs91Ucb4B7rtcYA==" saltValue="TTznpBmwdbmkXf+E0jtT+g==" spinCount="100000" sheet="1" objects="1" scenarios="1"/>
  <mergeCells count="2">
    <mergeCell ref="A1:E1"/>
    <mergeCell ref="A10:B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FBB2C-49EB-41ED-B764-7259701EA942}">
  <dimension ref="A1:H22"/>
  <sheetViews>
    <sheetView workbookViewId="0">
      <pane ySplit="4" topLeftCell="A5" activePane="bottomLeft" state="frozen"/>
      <selection pane="bottomLeft" activeCell="C4" sqref="C4"/>
    </sheetView>
  </sheetViews>
  <sheetFormatPr defaultRowHeight="14.25" x14ac:dyDescent="0.45"/>
  <cols>
    <col min="1" max="1" width="10.6640625" customWidth="1"/>
    <col min="2" max="8" width="23.1328125" customWidth="1"/>
  </cols>
  <sheetData>
    <row r="1" spans="1:8" ht="55.05" customHeight="1" x14ac:dyDescent="0.45">
      <c r="A1" s="72" t="s">
        <v>63</v>
      </c>
      <c r="B1" s="72"/>
      <c r="C1" s="72"/>
      <c r="D1" s="72"/>
      <c r="E1" s="72"/>
      <c r="F1" s="72"/>
      <c r="G1" s="72"/>
      <c r="H1" s="72"/>
    </row>
    <row r="2" spans="1:8" ht="22.05" customHeight="1" x14ac:dyDescent="0.45">
      <c r="A2" s="73" t="s">
        <v>64</v>
      </c>
      <c r="B2" s="73"/>
      <c r="C2" s="73"/>
      <c r="D2" s="73"/>
      <c r="E2" s="73"/>
      <c r="F2" s="73"/>
      <c r="G2" s="73"/>
      <c r="H2" s="73"/>
    </row>
    <row r="4" spans="1:8" ht="35" customHeight="1" x14ac:dyDescent="0.45">
      <c r="A4" s="19" t="s">
        <v>65</v>
      </c>
      <c r="B4" s="19" t="s">
        <v>66</v>
      </c>
      <c r="C4" s="19" t="s">
        <v>67</v>
      </c>
      <c r="D4" s="19" t="s">
        <v>68</v>
      </c>
      <c r="E4" s="19" t="s">
        <v>69</v>
      </c>
      <c r="F4" s="19" t="s">
        <v>70</v>
      </c>
      <c r="G4" s="19" t="s">
        <v>71</v>
      </c>
      <c r="H4" s="19" t="s">
        <v>72</v>
      </c>
    </row>
    <row r="5" spans="1:8" x14ac:dyDescent="0.45">
      <c r="A5" s="20">
        <v>1</v>
      </c>
      <c r="B5" s="21">
        <f>IF(A5&lt;='FHSS Calculator'!$B$9,MIN('FHSS Calculator'!$B$7,'Tax Rates'!$B$15,'Tax Rates'!$B$16-SUM($B$4:B4)),0)</f>
        <v>15000</v>
      </c>
      <c r="C5" s="21">
        <f>B5</f>
        <v>15000</v>
      </c>
      <c r="D5" s="21">
        <f>IF(A5&lt;='FHSS Calculator'!$B$9,'FHSS Calculator'!$B$29,0)</f>
        <v>2550</v>
      </c>
      <c r="E5" s="21">
        <f>D5</f>
        <v>2550</v>
      </c>
      <c r="F5" s="21">
        <f>IF('FHSS Calculator'!$B$8="Concessional",B5*(1-'Tax Rates'!$B$12),B5)</f>
        <v>12750</v>
      </c>
      <c r="G5" s="21">
        <f>F5+H5</f>
        <v>12750</v>
      </c>
      <c r="H5" s="22">
        <f>0*'Tax Rates'!$B$17</f>
        <v>0</v>
      </c>
    </row>
    <row r="6" spans="1:8" x14ac:dyDescent="0.45">
      <c r="A6" s="23">
        <v>2</v>
      </c>
      <c r="B6" s="24">
        <f>IF(A6&lt;='FHSS Calculator'!$B$9,MIN('FHSS Calculator'!$B$7,'Tax Rates'!$B$15,'Tax Rates'!$B$16-SUM($B$4:B5)),0)</f>
        <v>15000</v>
      </c>
      <c r="C6" s="24">
        <f>C5+B6</f>
        <v>30000</v>
      </c>
      <c r="D6" s="24">
        <f>IF(A6&lt;='FHSS Calculator'!$B$9,'FHSS Calculator'!$B$29,0)</f>
        <v>2550</v>
      </c>
      <c r="E6" s="24">
        <f>E5+D6</f>
        <v>5100</v>
      </c>
      <c r="F6" s="24">
        <f>IF('FHSS Calculator'!$B$8="Concessional",B6*(1-'Tax Rates'!$B$12),B6)</f>
        <v>12750</v>
      </c>
      <c r="G6" s="24">
        <f>G5+F6+H6</f>
        <v>26392.5</v>
      </c>
      <c r="H6" s="25">
        <f>G5*'Tax Rates'!$B$17</f>
        <v>892.50000000000011</v>
      </c>
    </row>
    <row r="7" spans="1:8" x14ac:dyDescent="0.45">
      <c r="A7" s="26">
        <v>3</v>
      </c>
      <c r="B7" s="27">
        <f>IF(A7&lt;='FHSS Calculator'!$B$9,MIN('FHSS Calculator'!$B$7,'Tax Rates'!$B$15,'Tax Rates'!$B$16-SUM($B$4:B6)),0)</f>
        <v>15000</v>
      </c>
      <c r="C7" s="27">
        <f t="shared" ref="C7:C14" si="0">C6+B7</f>
        <v>45000</v>
      </c>
      <c r="D7" s="27">
        <f>IF(A7&lt;='FHSS Calculator'!$B$9,'FHSS Calculator'!$B$29,0)</f>
        <v>2550</v>
      </c>
      <c r="E7" s="27">
        <f t="shared" ref="E7:E14" si="1">E6+D7</f>
        <v>7650</v>
      </c>
      <c r="F7" s="27">
        <f>IF('FHSS Calculator'!$B$8="Concessional",B7*(1-'Tax Rates'!$B$12),B7)</f>
        <v>12750</v>
      </c>
      <c r="G7" s="27">
        <f t="shared" ref="G7:G14" si="2">G6+F7+H7</f>
        <v>40989.974999999999</v>
      </c>
      <c r="H7" s="28">
        <f>G6*'Tax Rates'!$B$17</f>
        <v>1847.4750000000001</v>
      </c>
    </row>
    <row r="8" spans="1:8" x14ac:dyDescent="0.45">
      <c r="A8" s="23">
        <v>4</v>
      </c>
      <c r="B8" s="24">
        <f>IF(A8&lt;='FHSS Calculator'!$B$9,MIN('FHSS Calculator'!$B$7,'Tax Rates'!$B$15,'Tax Rates'!$B$16-SUM($B$4:B7)),0)</f>
        <v>0</v>
      </c>
      <c r="C8" s="24">
        <f t="shared" si="0"/>
        <v>45000</v>
      </c>
      <c r="D8" s="24">
        <f>IF(A8&lt;='FHSS Calculator'!$B$9,'FHSS Calculator'!$B$29,0)</f>
        <v>0</v>
      </c>
      <c r="E8" s="24">
        <f t="shared" si="1"/>
        <v>7650</v>
      </c>
      <c r="F8" s="24">
        <f>IF('FHSS Calculator'!$B$8="Concessional",B8*(1-'Tax Rates'!$B$12),B8)</f>
        <v>0</v>
      </c>
      <c r="G8" s="24">
        <f t="shared" si="2"/>
        <v>43859.273249999998</v>
      </c>
      <c r="H8" s="25">
        <f>G7*'Tax Rates'!$B$17</f>
        <v>2869.2982500000003</v>
      </c>
    </row>
    <row r="9" spans="1:8" x14ac:dyDescent="0.45">
      <c r="A9" s="26">
        <v>5</v>
      </c>
      <c r="B9" s="27">
        <f>IF(A9&lt;='FHSS Calculator'!$B$9,MIN('FHSS Calculator'!$B$7,'Tax Rates'!$B$15,'Tax Rates'!$B$16-SUM($B$4:B8)),0)</f>
        <v>0</v>
      </c>
      <c r="C9" s="27">
        <f t="shared" si="0"/>
        <v>45000</v>
      </c>
      <c r="D9" s="27">
        <f>IF(A9&lt;='FHSS Calculator'!$B$9,'FHSS Calculator'!$B$29,0)</f>
        <v>0</v>
      </c>
      <c r="E9" s="27">
        <f t="shared" si="1"/>
        <v>7650</v>
      </c>
      <c r="F9" s="27">
        <f>IF('FHSS Calculator'!$B$8="Concessional",B9*(1-'Tax Rates'!$B$12),B9)</f>
        <v>0</v>
      </c>
      <c r="G9" s="27">
        <f t="shared" si="2"/>
        <v>46929.422377499999</v>
      </c>
      <c r="H9" s="28">
        <f>G8*'Tax Rates'!$B$17</f>
        <v>3070.1491275000003</v>
      </c>
    </row>
    <row r="10" spans="1:8" x14ac:dyDescent="0.45">
      <c r="A10" s="23">
        <v>6</v>
      </c>
      <c r="B10" s="24">
        <f>IF(A10&lt;='FHSS Calculator'!$B$9,MIN('FHSS Calculator'!$B$7,'Tax Rates'!$B$15,'Tax Rates'!$B$16-SUM($B$4:B9)),0)</f>
        <v>0</v>
      </c>
      <c r="C10" s="24">
        <f t="shared" si="0"/>
        <v>45000</v>
      </c>
      <c r="D10" s="24">
        <f>IF(A10&lt;='FHSS Calculator'!$B$9,'FHSS Calculator'!$B$29,0)</f>
        <v>0</v>
      </c>
      <c r="E10" s="24">
        <f t="shared" si="1"/>
        <v>7650</v>
      </c>
      <c r="F10" s="24">
        <f>IF('FHSS Calculator'!$B$8="Concessional",B10*(1-'Tax Rates'!$B$12),B10)</f>
        <v>0</v>
      </c>
      <c r="G10" s="24">
        <f t="shared" si="2"/>
        <v>50214.481943924999</v>
      </c>
      <c r="H10" s="25">
        <f>G9*'Tax Rates'!$B$17</f>
        <v>3285.0595664250004</v>
      </c>
    </row>
    <row r="11" spans="1:8" x14ac:dyDescent="0.45">
      <c r="A11" s="26">
        <v>7</v>
      </c>
      <c r="B11" s="27">
        <f>IF(A11&lt;='FHSS Calculator'!$B$9,MIN('FHSS Calculator'!$B$7,'Tax Rates'!$B$15,'Tax Rates'!$B$16-SUM($B$4:B10)),0)</f>
        <v>0</v>
      </c>
      <c r="C11" s="27">
        <f t="shared" si="0"/>
        <v>45000</v>
      </c>
      <c r="D11" s="27">
        <f>IF(A11&lt;='FHSS Calculator'!$B$9,'FHSS Calculator'!$B$29,0)</f>
        <v>0</v>
      </c>
      <c r="E11" s="27">
        <f t="shared" si="1"/>
        <v>7650</v>
      </c>
      <c r="F11" s="27">
        <f>IF('FHSS Calculator'!$B$8="Concessional",B11*(1-'Tax Rates'!$B$12),B11)</f>
        <v>0</v>
      </c>
      <c r="G11" s="27">
        <f t="shared" si="2"/>
        <v>53729.495679999745</v>
      </c>
      <c r="H11" s="28">
        <f>G10*'Tax Rates'!$B$17</f>
        <v>3515.0137360747503</v>
      </c>
    </row>
    <row r="12" spans="1:8" x14ac:dyDescent="0.45">
      <c r="A12" s="23">
        <v>8</v>
      </c>
      <c r="B12" s="24">
        <f>IF(A12&lt;='FHSS Calculator'!$B$9,MIN('FHSS Calculator'!$B$7,'Tax Rates'!$B$15,'Tax Rates'!$B$16-SUM($B$4:B11)),0)</f>
        <v>0</v>
      </c>
      <c r="C12" s="24">
        <f t="shared" si="0"/>
        <v>45000</v>
      </c>
      <c r="D12" s="24">
        <f>IF(A12&lt;='FHSS Calculator'!$B$9,'FHSS Calculator'!$B$29,0)</f>
        <v>0</v>
      </c>
      <c r="E12" s="24">
        <f t="shared" si="1"/>
        <v>7650</v>
      </c>
      <c r="F12" s="24">
        <f>IF('FHSS Calculator'!$B$8="Concessional",B12*(1-'Tax Rates'!$B$12),B12)</f>
        <v>0</v>
      </c>
      <c r="G12" s="24">
        <f t="shared" si="2"/>
        <v>57490.56037759973</v>
      </c>
      <c r="H12" s="25">
        <f>G11*'Tax Rates'!$B$17</f>
        <v>3761.0646975999825</v>
      </c>
    </row>
    <row r="13" spans="1:8" x14ac:dyDescent="0.45">
      <c r="A13" s="26">
        <v>9</v>
      </c>
      <c r="B13" s="27">
        <f>IF(A13&lt;='FHSS Calculator'!$B$9,MIN('FHSS Calculator'!$B$7,'Tax Rates'!$B$15,'Tax Rates'!$B$16-SUM($B$4:B12)),0)</f>
        <v>0</v>
      </c>
      <c r="C13" s="27">
        <f t="shared" si="0"/>
        <v>45000</v>
      </c>
      <c r="D13" s="27">
        <f>IF(A13&lt;='FHSS Calculator'!$B$9,'FHSS Calculator'!$B$29,0)</f>
        <v>0</v>
      </c>
      <c r="E13" s="27">
        <f t="shared" si="1"/>
        <v>7650</v>
      </c>
      <c r="F13" s="27">
        <f>IF('FHSS Calculator'!$B$8="Concessional",B13*(1-'Tax Rates'!$B$12),B13)</f>
        <v>0</v>
      </c>
      <c r="G13" s="27">
        <f t="shared" si="2"/>
        <v>61514.899604031714</v>
      </c>
      <c r="H13" s="28">
        <f>G12*'Tax Rates'!$B$17</f>
        <v>4024.3392264319814</v>
      </c>
    </row>
    <row r="14" spans="1:8" x14ac:dyDescent="0.45">
      <c r="A14" s="29">
        <v>10</v>
      </c>
      <c r="B14" s="30">
        <f>IF(A14&lt;='FHSS Calculator'!$B$9,MIN('FHSS Calculator'!$B$7,'Tax Rates'!$B$15,'Tax Rates'!$B$16-SUM($B$4:B13)),0)</f>
        <v>0</v>
      </c>
      <c r="C14" s="30">
        <f t="shared" si="0"/>
        <v>45000</v>
      </c>
      <c r="D14" s="30">
        <f>IF(A14&lt;='FHSS Calculator'!$B$9,'FHSS Calculator'!$B$29,0)</f>
        <v>0</v>
      </c>
      <c r="E14" s="30">
        <f t="shared" si="1"/>
        <v>7650</v>
      </c>
      <c r="F14" s="30">
        <f>IF('FHSS Calculator'!$B$8="Concessional",B14*(1-'Tax Rates'!$B$12),B14)</f>
        <v>0</v>
      </c>
      <c r="G14" s="30">
        <f t="shared" si="2"/>
        <v>65820.94257631393</v>
      </c>
      <c r="H14" s="31">
        <f>G13*'Tax Rates'!$B$17</f>
        <v>4306.04297228222</v>
      </c>
    </row>
    <row r="15" spans="1:8" ht="14.65" thickBot="1" x14ac:dyDescent="0.5"/>
    <row r="16" spans="1:8" x14ac:dyDescent="0.45">
      <c r="A16" s="32" t="s">
        <v>73</v>
      </c>
      <c r="B16" s="33">
        <f>SUM(B5:B14)</f>
        <v>45000</v>
      </c>
      <c r="C16" s="34"/>
      <c r="D16" s="33">
        <f>SUM(D5:D14)</f>
        <v>7650</v>
      </c>
      <c r="E16" s="34"/>
      <c r="F16" s="33">
        <f>SUM(F5:F14)</f>
        <v>38250</v>
      </c>
      <c r="G16" s="34"/>
      <c r="H16" s="33">
        <f>SUM(H5:H14)</f>
        <v>27570.942576313937</v>
      </c>
    </row>
    <row r="18" spans="1:1" x14ac:dyDescent="0.45">
      <c r="A18" s="35" t="s">
        <v>74</v>
      </c>
    </row>
    <row r="19" spans="1:1" x14ac:dyDescent="0.45">
      <c r="A19" s="36" t="s">
        <v>75</v>
      </c>
    </row>
    <row r="20" spans="1:1" x14ac:dyDescent="0.45">
      <c r="A20" s="36" t="s">
        <v>76</v>
      </c>
    </row>
    <row r="21" spans="1:1" x14ac:dyDescent="0.45">
      <c r="A21" s="36" t="s">
        <v>77</v>
      </c>
    </row>
    <row r="22" spans="1:1" x14ac:dyDescent="0.45">
      <c r="A22" s="36" t="s">
        <v>78</v>
      </c>
    </row>
  </sheetData>
  <sheetProtection algorithmName="SHA-512" hashValue="VP+pI8dEp7TCv4taOgYT0z7J3q9mQefeQZbAX622DXB1aZ90rSdwmIRYOn4ZMAV7KCMWrh6OYd6pbX6udgb0hA==" saltValue="kywiaUqBy+zjegK3aArxAA==" spinCount="100000" sheet="1" objects="1" scenarios="1"/>
  <mergeCells count="2">
    <mergeCell ref="A1:H1"/>
    <mergeCell ref="A2:H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FHSS Calculator</vt:lpstr>
      <vt:lpstr>Tax Rates</vt:lpstr>
      <vt:lpstr>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Rodnia</dc:creator>
  <cp:lastModifiedBy>Amir Rodnia</cp:lastModifiedBy>
  <dcterms:created xsi:type="dcterms:W3CDTF">2026-05-06T23:41:34Z</dcterms:created>
  <dcterms:modified xsi:type="dcterms:W3CDTF">2026-05-07T04:09:19Z</dcterms:modified>
</cp:coreProperties>
</file>