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drawings/vmlDrawing2.vml" ContentType="application/vnd.openxmlformats-officedocument.vmlDrawing"/>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xl/comments2.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HSS Calculator" sheetId="1" state="visible" r:id="rId3"/>
    <sheet name="Tax Rates" sheetId="2" state="visible" r:id="rId4"/>
    <sheet name="Schedule" sheetId="3" state="visible" r:id="rId5"/>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B18" authorId="0">
      <text>
        <r>
          <rPr>
            <sz val="10"/>
            <rFont val="Arial"/>
            <family val="2"/>
          </rPr>
          <t xml:space="preserve">Added. Previously B7 (the raw entry) was used directly in every downstream formula with no cap, so entering more than $15,000/yr flowed straight through into Tax Saved, Net to Super, etc. with no warning. This cell enforces the real $15,000/yr FHSS limit; B7 itself is left untouched so the user's actual entry is still visible.</t>
        </r>
      </text>
    </comment>
    <comment ref="B33" authorId="0">
      <text>
        <r>
          <rPr>
            <sz val="10"/>
            <rFont val="Arial"/>
            <family val="2"/>
          </rPr>
          <t xml:space="preserve">Rewritten. Was MIN(B7*Years,$50k) -- used the raw, uncapped B7 and didn't reflect that if you withdraw before finishing your planned contribution years, only the contributions actually made by then should count. Now pulled from the Schedule at the Withdrawal Year row, which already enforces both the $15k/yr and $50k lifetime caps and stops contributing once you specify.</t>
        </r>
      </text>
    </comment>
    <comment ref="B35" authorId="0">
      <text>
        <r>
          <rPr>
            <sz val="10"/>
            <rFont val="Arial"/>
            <family val="2"/>
          </rPr>
          <t xml:space="preserve">Rewritten. Was Net-Contributions*((1+SIC)^WithdrawalYear-1), which treats the entire multi-year contribution total as if it had all been invested from day one -- verified to overstate earnings by roughly 3x at a 3-year horizon versus this workbook's own Schedule tab. Now looked up directly from the Schedule (which compounds each year's contribution from when it actually happened), so the two tabs can no longer disagree.</t>
        </r>
      </text>
    </comment>
  </commentList>
</comments>
</file>

<file path=xl/comments2.xml><?xml version="1.0" encoding="utf-8"?>
<comments xmlns="http://schemas.openxmlformats.org/spreadsheetml/2006/main" xmlns:xdr="http://schemas.openxmlformats.org/drawingml/2006/spreadsheetDrawing">
  <authors>
    <author>Unknown Author</author>
  </authors>
  <commentList>
    <comment ref="A23" authorId="0">
      <text>
        <r>
          <rPr>
            <sz val="10"/>
            <rFont val="Arial"/>
            <family val="2"/>
          </rPr>
          <t xml:space="preserve">Added. Previously the calculator applied the full 2% Medicare Levy to all income above the $18,200 income-tax-free threshold. In reality the Medicare Levy has its own, separate low-income threshold (higher than $18,200) below which no levy is paid, with a 10%-in-the-dollar shade-in zone up to roughly 1.25x the threshold before the full 2% applies. This assumes a single person with no dependents (family thresholds are higher) — flag for review if modelling a client with dependents.</t>
        </r>
      </text>
    </comment>
    <comment ref="B14" authorId="0">
      <text>
        <r>
          <rPr>
            <sz val="10"/>
            <rFont val="Arial"/>
            <family val="2"/>
          </rPr>
          <t xml:space="preserve">Updated for FY2026-27 (was $30,000 in FY2025-26). Indexed increase effective 1 July 2026.</t>
        </r>
      </text>
    </comment>
    <comment ref="C5" authorId="0">
      <text>
        <r>
          <rPr>
            <sz val="10"/>
            <rFont val="Arial"/>
            <family val="2"/>
          </rPr>
          <t xml:space="preserve">Updated for FY2026-27. Previous FY2025-26 value was 16%. Legislated tax cut effective 1 July 2026 dropped the $18,201-$45,000 bracket from 16% to 15% (all other brackets/thresholds unchanged). Base Tax figures recomputed accordingly.</t>
        </r>
      </text>
    </comment>
    <comment ref="D6" authorId="0">
      <text>
        <r>
          <rPr>
            <sz val="10"/>
            <rFont val="Arial"/>
            <family val="2"/>
          </rPr>
          <t xml:space="preserve">Updated for FY2026-27. Previous FY2025-26 value was $4,288. Legislated tax cut effective 1 July 2026 dropped the $18,201-$45,000 bracket from 16% to 15% (all other brackets/thresholds unchanged). Base Tax figures recomputed accordingly.</t>
        </r>
      </text>
    </comment>
    <comment ref="D7" authorId="0">
      <text>
        <r>
          <rPr>
            <sz val="10"/>
            <rFont val="Arial"/>
            <family val="2"/>
          </rPr>
          <t xml:space="preserve">Updated for FY2026-27. Previous FY2025-26 value was $31,288. Legislated tax cut effective 1 July 2026 dropped the $18,201-$45,000 bracket from 16% to 15% (all other brackets/thresholds unchanged). Base Tax figures recomputed accordingly.</t>
        </r>
      </text>
    </comment>
    <comment ref="D8" authorId="0">
      <text>
        <r>
          <rPr>
            <sz val="10"/>
            <rFont val="Arial"/>
            <family val="2"/>
          </rPr>
          <t xml:space="preserve">Updated for FY2026-27. Previous FY2025-26 value was $51,638. Legislated tax cut effective 1 July 2026 dropped the $18,201-$45,000 bracket from 16% to 15% (all other brackets/thresholds unchanged). Base Tax figures recomputed accordingly.</t>
        </r>
      </text>
    </comment>
    <comment ref="F3" authorId="0">
      <text>
        <r>
          <rPr>
            <sz val="10"/>
            <rFont val="Arial"/>
            <family val="2"/>
          </rPr>
          <t xml:space="preserve">Added: the true bracket threshold used for the marginal-rate subtraction in the calculator (=income over $X). Column A (Lower Bound) is one dollar higher in each bracket after the first, because it identifies bracket MEMBERSHIP for MATCH, not the subtraction anchor. Reusing column A for both purposes silently understated tax by the marginal rate (16-45 cents) for anyone whose income sits above a bracket boundary. Formulas on 'FHSS Calculator' now reference this column for the subtraction and column A only for MATCH.</t>
        </r>
      </text>
    </comment>
  </commentList>
</comments>
</file>

<file path=xl/sharedStrings.xml><?xml version="1.0" encoding="utf-8"?>
<sst xmlns="http://schemas.openxmlformats.org/spreadsheetml/2006/main" count="112" uniqueCount="110">
  <si>
    <t xml:space="preserve">First Home Super Saver (FHSS) Scheme Calculator</t>
  </si>
  <si>
    <t xml:space="preserve">DISCLAIMER: This calculator is a general information tool only. Results are estimates based on the inputs you provide and assumptions about tax rates, deemed earnings rates, and ATO rules current at the time of publication. Actual outcomes will vary depending on your fund's rules, the SIC rate at the time of withdrawal, changes to tax legislation, and your individual circumstances. This calculator does not constitute personal financial advice or tax advice. Before making any FHSS contributions or withdrawal decisions, consult a licensed financial adviser and a registered tax agent. Figures shown do not account for employer SGC contributions against your concessional cap, confirm your available cap before contributing.</t>
  </si>
  <si>
    <t xml:space="preserve">Australian residents — 2026-27 marginal tax rates incl. 2% Medicare Levy (current FY; updated from 2025-26)</t>
  </si>
  <si>
    <t xml:space="preserve">INPUTS</t>
  </si>
  <si>
    <t xml:space="preserve">Annual Gross Salary (excl. super)</t>
  </si>
  <si>
    <t xml:space="preserve">Annual FHSS Voluntary Contribution</t>
  </si>
  <si>
    <t xml:space="preserve">Capped at $15,000/yr; $50,000 lifetime. Cannot exceed your gross salary.</t>
  </si>
  <si>
    <t xml:space="preserve">Contribution Type</t>
  </si>
  <si>
    <t xml:space="preserve">Concessional</t>
  </si>
  <si>
    <t xml:space="preserve">Concessional (pre-tax/salary sacrifice) or Non-concessional (post-tax)</t>
  </si>
  <si>
    <t xml:space="preserve">Number of Years Contributing</t>
  </si>
  <si>
    <t xml:space="preserve">Year of Withdrawal (Yrs from now)</t>
  </si>
  <si>
    <t xml:space="preserve">Apply Division 293 Tax?</t>
  </si>
  <si>
    <t xml:space="preserve">Auto</t>
  </si>
  <si>
    <t xml:space="preserve">MARGINAL TAX RATE &amp; BASELINE TAX</t>
  </si>
  <si>
    <t xml:space="preserve">Marginal Tax Rate (incl. Medicare) — auto-calculated</t>
  </si>
  <si>
    <t xml:space="preserve">Auto-calculated from salary (bracket + shaded Medicare Levy). Not user-editable.</t>
  </si>
  <si>
    <t xml:space="preserve">Total Tax — No FHSS (progressive)</t>
  </si>
  <si>
    <t xml:space="preserve">(Includes 2% Medicare Levy where applicable)</t>
  </si>
  <si>
    <t xml:space="preserve">Total Tax — No FHSS</t>
  </si>
  <si>
    <t xml:space="preserve">Net Take-Home Pay — No FHSS</t>
  </si>
  <si>
    <t xml:space="preserve">Eligible Annual Contribution (capped at FHSS $15,000/yr limit)</t>
  </si>
  <si>
    <t xml:space="preserve">All per-year tax/super figures below use this capped amount, not the raw entry in B7.</t>
  </si>
  <si>
    <t xml:space="preserve">WITH FHSS CONTRIBUTION</t>
  </si>
  <si>
    <t xml:space="preserve">Taxable Income After Salary Sacrifice</t>
  </si>
  <si>
    <t xml:space="preserve">Income Tax on Reduced Salary (progressive)</t>
  </si>
  <si>
    <t xml:space="preserve">Contributions Tax (15% + Div 293 if applicable)</t>
  </si>
  <si>
    <t xml:space="preserve">Total Tax — With FHSS</t>
  </si>
  <si>
    <t xml:space="preserve">Net Amount in Super (after tax)</t>
  </si>
  <si>
    <t xml:space="preserve">Net Take-Home (excl. super contribution)</t>
  </si>
  <si>
    <t xml:space="preserve">ANNUAL TAX SAVING</t>
  </si>
  <si>
    <t xml:space="preserve">Tax Saved per Year</t>
  </si>
  <si>
    <t xml:space="preserve">Effective Saving Rate (vs. contribution)</t>
  </si>
  <si>
    <t xml:space="preserve">FHSS WITHDRAWAL TAX (at release)</t>
  </si>
  <si>
    <t xml:space="preserve">Total Eligible Contributions</t>
  </si>
  <si>
    <t xml:space="preserve">Capped at $50,000 lifetime limit</t>
  </si>
  <si>
    <t xml:space="preserve">Net of Contributions Tax</t>
  </si>
  <si>
    <t xml:space="preserve">Associated Earnings (deemed, SIC)</t>
  </si>
  <si>
    <t xml:space="preserve">Based on indicative SIC rate; actual rate at withdrawal may vary</t>
  </si>
  <si>
    <t xml:space="preserve">Total Released Amount (gross)</t>
  </si>
  <si>
    <t xml:space="preserve">Assessable Portion (Concessional + Earnings)</t>
  </si>
  <si>
    <t xml:space="preserve">Withholding Tax Rate (MTR − 30% offset)</t>
  </si>
  <si>
    <t xml:space="preserve">Withdrawal Tax</t>
  </si>
  <si>
    <t xml:space="preserve">Net Released to Buy Home</t>
  </si>
  <si>
    <t xml:space="preserve">COMPARISON: FHSS vs. SAVING OUTSIDE SUPER</t>
  </si>
  <si>
    <t xml:space="preserve">FHSS Strategy</t>
  </si>
  <si>
    <t xml:space="preserve">Outside Super (Bank/ETF)</t>
  </si>
  <si>
    <t xml:space="preserve">FHSS Advantage</t>
  </si>
  <si>
    <t xml:space="preserve">Pre-tax contribution / saving</t>
  </si>
  <si>
    <t xml:space="preserve">—</t>
  </si>
  <si>
    <t xml:space="preserve">Tax paid going IN</t>
  </si>
  <si>
    <t xml:space="preserve">Net amount saved</t>
  </si>
  <si>
    <t xml:space="preserve">Earnings rate applied</t>
  </si>
  <si>
    <t xml:space="preserve">Gross earnings over period</t>
  </si>
  <si>
    <t xml:space="preserve">Tax on earnings</t>
  </si>
  <si>
    <t xml:space="preserve">Net amount available to buy home</t>
  </si>
  <si>
    <t xml:space="preserve">TOTAL FHSS BENEFIT</t>
  </si>
  <si>
    <t xml:space="preserve">Total tax saved over contribution period</t>
  </si>
  <si>
    <t xml:space="preserve">Net advantage at withdrawal (vs. outside super)</t>
  </si>
  <si>
    <t xml:space="preserve">Note: Your FHSS voluntary contribution plus your employer's SGC contributions must not exceed the annual concessional cap of $32,500 (FY2026-27). Check your employer SGC amount before contributing.</t>
  </si>
  <si>
    <t xml:space="preserve">Corrections applied: FY2026-27 tax settings (15% bracket, $32,500 concessional cap); shaded Medicare Levy low-income treatment (single, no dependents); $15,000/yr FHSS cap now enforced and warned on; associated earnings and the Outside-Super comparison now compound year-by-year via the Schedule tab instead of assuming a lump sum invested from day one; Schedule extended to 30 years and now includes Division 293 in its Net-to-Super figures; B13 dropdown removed; negative-salary formula errors fixed; numeric input validation added.</t>
  </si>
  <si>
    <t xml:space="preserve">All cells are protected except the six inputs above (Salary, Contribution, Contribution Type, Years Contributing, Withdrawal Year, Division 293). No password is set — to edit anything else (e.g. update next year’s tax rates), use Review &gt; Unprotect Sheet on each tab, make the change, then Review &gt; Protect Sheet again.</t>
  </si>
  <si>
    <t xml:space="preserve">Lower Bound</t>
  </si>
  <si>
    <t xml:space="preserve">Upper Bound</t>
  </si>
  <si>
    <t xml:space="preserve">Marginal Rate</t>
  </si>
  <si>
    <t xml:space="preserve">Base Tax at Lower</t>
  </si>
  <si>
    <t xml:space="preserve">Bracket Description</t>
  </si>
  <si>
    <t xml:space="preserve">True Threshold (calc anchor)</t>
  </si>
  <si>
    <t xml:space="preserve">Tax-free threshold</t>
  </si>
  <si>
    <t xml:space="preserve">15c per $1 over $18,200</t>
  </si>
  <si>
    <t xml:space="preserve">$4,020 + 30c per $1 over $45,000</t>
  </si>
  <si>
    <t xml:space="preserve">$31,020 + 37c per $1 over $135,000</t>
  </si>
  <si>
    <t xml:space="preserve">$51,370 + 45c per $1 over $190,000</t>
  </si>
  <si>
    <t xml:space="preserve">Other Rates</t>
  </si>
  <si>
    <t xml:space="preserve">Medicare Levy</t>
  </si>
  <si>
    <t xml:space="preserve">Concessional Super Contributions Tax</t>
  </si>
  <si>
    <t xml:space="preserve">FHSS Withdrawal Tax Offset</t>
  </si>
  <si>
    <t xml:space="preserve">Concessional Contribution Cap (FY26-27)</t>
  </si>
  <si>
    <t xml:space="preserve">FHSS Annual Contribution Limit</t>
  </si>
  <si>
    <t xml:space="preserve">FHSS Total Release Limit</t>
  </si>
  <si>
    <t xml:space="preserve">FHSS Deemed Earnings Rate (SIC, indicative)</t>
  </si>
  <si>
    <t xml:space="preserve">Division 293 Additional Tax Rate</t>
  </si>
  <si>
    <t xml:space="preserve">Division 293 Income Threshold</t>
  </si>
  <si>
    <t xml:space="preserve">Source: ATO — Individual income tax rates (residents) FY2026-27 (current financial year, updated 1 July 2026). Div 293 threshold $250k (unchanged since 2017).</t>
  </si>
  <si>
    <t xml:space="preserve">Medicare Levy Low-Income Threshold (single, FY26-27)</t>
  </si>
  <si>
    <t xml:space="preserve">Medicare Levy Shade-in Rate</t>
  </si>
  <si>
    <t xml:space="preserve">Multi-Year FHSS Contribution Schedule</t>
  </si>
  <si>
    <t xml:space="preserve">Tracks contributions, tax savings, deemed earnings, and running balance year-by-year</t>
  </si>
  <si>
    <t xml:space="preserve">Year</t>
  </si>
  <si>
    <t xml:space="preserve">Annual Contribution</t>
  </si>
  <si>
    <t xml:space="preserve">Cumulative Contributions</t>
  </si>
  <si>
    <t xml:space="preserve">Tax Saved (Annual)</t>
  </si>
  <si>
    <t xml:space="preserve">Cumulative Tax Saved</t>
  </si>
  <si>
    <t xml:space="preserve">Net to Super (after tax)</t>
  </si>
  <si>
    <t xml:space="preserve">Cumulative Super Balance</t>
  </si>
  <si>
    <t xml:space="preserve">Deemed Earnings (Year)</t>
  </si>
  <si>
    <t xml:space="preserve">Outside-Super Contribution</t>
  </si>
  <si>
    <t xml:space="preserve">Outside-Super Net Saved (after tax)</t>
  </si>
  <si>
    <t xml:space="preserve">Outside-Super Earnings (Year)</t>
  </si>
  <si>
    <t xml:space="preserve">Cumulative Outside-Super Balance</t>
  </si>
  <si>
    <t xml:space="preserve">Cumulative Deemed Earnings (FHSS)</t>
  </si>
  <si>
    <t xml:space="preserve">Cumulative Outside-Super Earnings</t>
  </si>
  <si>
    <t xml:space="preserve">TOTALS</t>
  </si>
  <si>
    <t xml:space="preserve">Notes:</t>
  </si>
  <si>
    <t xml:space="preserve">• Annual contribution capped at $15,000/yr and $50,000 lifetime (per ATO), enforced via column B.</t>
  </si>
  <si>
    <t xml:space="preserve">• Deemed earnings use the indicative SIC rate. To update it (Tax Rates sheet, B17), unprotect the sheet first: Review &gt; Unprotect Sheet (no password set).</t>
  </si>
  <si>
    <t xml:space="preserve">• Deemed earnings use the indicative SIC rate (editable on Tax Rates sheet, B17).</t>
  </si>
  <si>
    <t xml:space="preserve">• Net to Super (col F) now correctly includes Division 293 tax when applicable (previously omitted here, though it was already included on the FHSS Calculator tab — the two could disagree for high-income earners above $250k).</t>
  </si>
  <si>
    <t xml:space="preserve">• Columns I-N model the "save outside super instead" comparison year-by-year, on the same schedule, feeding the Comparison section on the FHSS Calculator tab.</t>
  </si>
  <si>
    <t xml:space="preserve">• The FHSS Calculator tab’s withdrawal-year figures are looked up directly from this sheet (by matching the Withdrawal Year to column A), so the two tabs can no longer disagree.</t>
  </si>
</sst>
</file>

<file path=xl/styles.xml><?xml version="1.0" encoding="utf-8"?>
<styleSheet xmlns="http://schemas.openxmlformats.org/spreadsheetml/2006/main">
  <numFmts count="6">
    <numFmt numFmtId="164" formatCode="General"/>
    <numFmt numFmtId="165" formatCode="\$#,##0"/>
    <numFmt numFmtId="166" formatCode="0"/>
    <numFmt numFmtId="167" formatCode="0.0%"/>
    <numFmt numFmtId="168" formatCode="\$#,##0;&quot;($&quot;#,##0\);\-"/>
    <numFmt numFmtId="169" formatCode="0.00%"/>
  </numFmts>
  <fonts count="27">
    <font>
      <sz val="11"/>
      <color theme="1"/>
      <name val="Aptos Narrow"/>
      <family val="2"/>
      <charset val="1"/>
    </font>
    <font>
      <sz val="10"/>
      <name val="Arial"/>
      <family val="0"/>
    </font>
    <font>
      <sz val="10"/>
      <name val="Arial"/>
      <family val="0"/>
    </font>
    <font>
      <sz val="10"/>
      <name val="Arial"/>
      <family val="0"/>
    </font>
    <font>
      <b val="true"/>
      <sz val="18"/>
      <color rgb="FFFFFFFF"/>
      <name val="Calibri"/>
      <family val="0"/>
      <charset val="1"/>
    </font>
    <font>
      <b val="true"/>
      <sz val="11"/>
      <color rgb="FFFFFFFF"/>
      <name val="Calibri"/>
      <family val="2"/>
      <charset val="1"/>
    </font>
    <font>
      <b val="true"/>
      <i val="true"/>
      <sz val="10"/>
      <color rgb="FFFFFFFF"/>
      <name val="Aptos Narrow"/>
      <family val="2"/>
      <charset val="1"/>
    </font>
    <font>
      <b val="true"/>
      <sz val="11"/>
      <color rgb="FFFFFFFF"/>
      <name val="Calibri"/>
      <family val="0"/>
      <charset val="1"/>
    </font>
    <font>
      <sz val="10"/>
      <color theme="1"/>
      <name val="Calibri"/>
      <family val="0"/>
      <charset val="1"/>
    </font>
    <font>
      <b val="true"/>
      <sz val="10"/>
      <color rgb="FF0000FF"/>
      <name val="Calibri"/>
      <family val="0"/>
      <charset val="1"/>
    </font>
    <font>
      <i val="true"/>
      <sz val="10"/>
      <color rgb="FF666666"/>
      <name val="Calibri"/>
      <family val="0"/>
      <charset val="1"/>
    </font>
    <font>
      <b val="true"/>
      <i val="true"/>
      <sz val="10"/>
      <color rgb="FFC00000"/>
      <name val="Calibri"/>
      <family val="2"/>
      <charset val="1"/>
    </font>
    <font>
      <b val="true"/>
      <sz val="11"/>
      <color rgb="FF0000FF"/>
      <name val="Aptos Narrow"/>
      <family val="2"/>
      <charset val="1"/>
    </font>
    <font>
      <i val="true"/>
      <sz val="9"/>
      <color rgb="FF666666"/>
      <name val="Aptos Narrow"/>
      <family val="2"/>
      <charset val="1"/>
    </font>
    <font>
      <b val="true"/>
      <sz val="10"/>
      <color rgb="FF000000"/>
      <name val="Calibri"/>
      <family val="2"/>
      <charset val="1"/>
    </font>
    <font>
      <i val="true"/>
      <sz val="10"/>
      <color rgb="FF666666"/>
      <name val="Calibri"/>
      <family val="2"/>
      <charset val="1"/>
    </font>
    <font>
      <b val="true"/>
      <sz val="10"/>
      <color theme="1"/>
      <name val="Calibri"/>
      <family val="0"/>
      <charset val="1"/>
    </font>
    <font>
      <b val="true"/>
      <sz val="11"/>
      <color rgb="FFFFFFFF"/>
      <name val="Aptos Narrow"/>
      <family val="2"/>
      <charset val="1"/>
    </font>
    <font>
      <b val="true"/>
      <sz val="10"/>
      <color rgb="FFFFFFFF"/>
      <name val="Calibri"/>
      <family val="0"/>
      <charset val="1"/>
    </font>
    <font>
      <sz val="10"/>
      <color theme="1"/>
      <name val="Aptos Narrow"/>
      <family val="2"/>
      <charset val="1"/>
    </font>
    <font>
      <sz val="10"/>
      <name val="Arial"/>
      <family val="2"/>
    </font>
    <font>
      <b val="true"/>
      <sz val="14"/>
      <color rgb="FFFFFFFF"/>
      <name val="Calibri"/>
      <family val="0"/>
      <charset val="1"/>
    </font>
    <font>
      <b val="true"/>
      <sz val="11"/>
      <name val="Cambria"/>
      <family val="0"/>
      <charset val="1"/>
    </font>
    <font>
      <sz val="10"/>
      <color rgb="FF0000FF"/>
      <name val="Calibri"/>
      <family val="0"/>
      <charset val="1"/>
    </font>
    <font>
      <i val="true"/>
      <sz val="9"/>
      <color rgb="FF666666"/>
      <name val="Calibri"/>
      <family val="0"/>
      <charset val="1"/>
    </font>
    <font>
      <b val="true"/>
      <sz val="16"/>
      <color rgb="FFFFFFFF"/>
      <name val="Calibri"/>
      <family val="0"/>
      <charset val="1"/>
    </font>
    <font>
      <b val="true"/>
      <sz val="10"/>
      <color rgb="FFFFFFFF"/>
      <name val="Aptos Narrow"/>
      <family val="2"/>
      <charset val="1"/>
    </font>
  </fonts>
  <fills count="9">
    <fill>
      <patternFill patternType="none"/>
    </fill>
    <fill>
      <patternFill patternType="gray125"/>
    </fill>
    <fill>
      <patternFill patternType="solid">
        <fgColor rgb="FF0A0A0A"/>
        <bgColor rgb="FF000000"/>
      </patternFill>
    </fill>
    <fill>
      <patternFill patternType="solid">
        <fgColor rgb="FFF26B1F"/>
        <bgColor rgb="FFFF8080"/>
      </patternFill>
    </fill>
    <fill>
      <patternFill patternType="solid">
        <fgColor rgb="FFFFF2CC"/>
        <bgColor rgb="FFFDE4D2"/>
      </patternFill>
    </fill>
    <fill>
      <patternFill patternType="solid">
        <fgColor rgb="FFFFFFFF"/>
        <bgColor rgb="FFFAFAFA"/>
      </patternFill>
    </fill>
    <fill>
      <patternFill patternType="solid">
        <fgColor rgb="FFE7E6E6"/>
        <bgColor rgb="FFD9D9D9"/>
      </patternFill>
    </fill>
    <fill>
      <patternFill patternType="solid">
        <fgColor rgb="FFFDE4D2"/>
        <bgColor rgb="FFFFF2CC"/>
      </patternFill>
    </fill>
    <fill>
      <patternFill patternType="solid">
        <fgColor rgb="FFFAFAFA"/>
        <bgColor rgb="FFFFFFFF"/>
      </patternFill>
    </fill>
  </fills>
  <borders count="19">
    <border diagonalUp="false" diagonalDown="false">
      <left/>
      <right/>
      <top/>
      <bottom/>
      <diagonal/>
    </border>
    <border diagonalUp="false" diagonalDown="false">
      <left/>
      <right/>
      <top style="medium">
        <color rgb="FFF26B1F"/>
      </top>
      <bottom/>
      <diagonal/>
    </border>
    <border diagonalUp="false" diagonalDown="false">
      <left/>
      <right/>
      <top/>
      <bottom style="thin">
        <color rgb="FFD9D9D9"/>
      </bottom>
      <diagonal/>
    </border>
    <border diagonalUp="false" diagonalDown="false">
      <left/>
      <right/>
      <top style="medium">
        <color rgb="FFF26B1F"/>
      </top>
      <bottom style="medium">
        <color rgb="FFF26B1F"/>
      </bottom>
      <diagonal/>
    </border>
    <border diagonalUp="false" diagonalDown="false">
      <left/>
      <right/>
      <top/>
      <bottom style="medium">
        <color rgb="FFF26B1F"/>
      </bottom>
      <diagonal/>
    </border>
    <border diagonalUp="false" diagonalDown="false">
      <left/>
      <right/>
      <top style="thin">
        <color rgb="FFD9D9D9"/>
      </top>
      <bottom style="thin">
        <color rgb="FFD9D9D9"/>
      </bottom>
      <diagonal/>
    </border>
    <border diagonalUp="false" diagonalDown="false">
      <left/>
      <right/>
      <top style="thin">
        <color rgb="FFD9D9D9"/>
      </top>
      <bottom style="thin">
        <color rgb="FF0A0A0A"/>
      </bottom>
      <diagonal/>
    </border>
    <border diagonalUp="false" diagonalDown="false">
      <left/>
      <right/>
      <top style="thin">
        <color rgb="FFD9D9D9"/>
      </top>
      <bottom/>
      <diagonal/>
    </border>
    <border diagonalUp="false" diagonalDown="false">
      <left/>
      <right/>
      <top style="thin">
        <color rgb="FFD9D9D9"/>
      </top>
      <bottom style="medium">
        <color rgb="FFF26B1F"/>
      </bottom>
      <diagonal/>
    </border>
    <border diagonalUp="false" diagonalDown="false">
      <left/>
      <right style="thin">
        <color rgb="FFD9D9D9"/>
      </right>
      <top/>
      <bottom style="thin">
        <color rgb="FFD9D9D9"/>
      </bottom>
      <diagonal/>
    </border>
    <border diagonalUp="false" diagonalDown="false">
      <left style="thin">
        <color rgb="FFD9D9D9"/>
      </left>
      <right style="thin">
        <color rgb="FFD9D9D9"/>
      </right>
      <top/>
      <bottom style="thin">
        <color rgb="FFD9D9D9"/>
      </bottom>
      <diagonal/>
    </border>
    <border diagonalUp="false" diagonalDown="false">
      <left style="thin">
        <color rgb="FFD9D9D9"/>
      </left>
      <right/>
      <top/>
      <bottom style="thin">
        <color rgb="FFD9D9D9"/>
      </bottom>
      <diagonal/>
    </border>
    <border diagonalUp="false" diagonalDown="false">
      <left/>
      <right style="thin">
        <color rgb="FFD9D9D9"/>
      </right>
      <top style="thin">
        <color rgb="FFD9D9D9"/>
      </top>
      <bottom style="thin">
        <color rgb="FFD9D9D9"/>
      </bottom>
      <diagonal/>
    </border>
    <border diagonalUp="false" diagonalDown="false">
      <left style="thin">
        <color rgb="FFD9D9D9"/>
      </left>
      <right style="thin">
        <color rgb="FFD9D9D9"/>
      </right>
      <top style="thin">
        <color rgb="FFD9D9D9"/>
      </top>
      <bottom style="thin">
        <color rgb="FFD9D9D9"/>
      </bottom>
      <diagonal/>
    </border>
    <border diagonalUp="false" diagonalDown="false">
      <left style="thin">
        <color rgb="FFD9D9D9"/>
      </left>
      <right/>
      <top style="thin">
        <color rgb="FFD9D9D9"/>
      </top>
      <bottom style="thin">
        <color rgb="FFD9D9D9"/>
      </bottom>
      <diagonal/>
    </border>
    <border diagonalUp="false" diagonalDown="false">
      <left/>
      <right style="thin">
        <color rgb="FFD9D9D9"/>
      </right>
      <top style="thin">
        <color rgb="FFD9D9D9"/>
      </top>
      <bottom/>
      <diagonal/>
    </border>
    <border diagonalUp="false" diagonalDown="false">
      <left style="thin">
        <color rgb="FFD9D9D9"/>
      </left>
      <right style="thin">
        <color rgb="FFD9D9D9"/>
      </right>
      <top style="thin">
        <color rgb="FFD9D9D9"/>
      </top>
      <bottom/>
      <diagonal/>
    </border>
    <border diagonalUp="false" diagonalDown="false">
      <left style="thin">
        <color rgb="FFD9D9D9"/>
      </left>
      <right/>
      <top style="thin">
        <color rgb="FFD9D9D9"/>
      </top>
      <bottom/>
      <diagonal/>
    </border>
    <border diagonalUp="false" diagonalDown="false">
      <left/>
      <right/>
      <top style="medium">
        <color rgb="FF0A0A0A"/>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true" applyAlignment="true" applyProtection="true">
      <alignment horizontal="center" vertical="center" textRotation="0" wrapText="false" indent="0" shrinkToFit="false"/>
      <protection locked="true" hidden="false"/>
    </xf>
    <xf numFmtId="164" fontId="5" fillId="2" borderId="0" xfId="0" applyFont="true" applyBorder="true" applyAlignment="true" applyProtection="true">
      <alignment horizontal="center" vertical="center" textRotation="0" wrapText="true" indent="0" shrinkToFit="false"/>
      <protection locked="true" hidden="false"/>
    </xf>
    <xf numFmtId="164" fontId="6" fillId="3" borderId="0" xfId="0" applyFont="true" applyBorder="true" applyAlignment="true" applyProtection="true">
      <alignment horizontal="center" vertical="bottom" textRotation="0" wrapText="false" indent="0" shrinkToFit="false"/>
      <protection locked="true" hidden="false"/>
    </xf>
    <xf numFmtId="164" fontId="7" fillId="2" borderId="0" xfId="0" applyFont="true" applyBorder="true" applyAlignment="true" applyProtection="true">
      <alignment horizontal="left" vertical="center" textRotation="0" wrapText="false" indent="1"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5" fontId="9" fillId="4" borderId="0" xfId="0" applyFont="true" applyBorder="false" applyAlignment="true" applyProtection="true">
      <alignment horizontal="general" vertical="bottom" textRotation="0" wrapText="false" indent="0" shrinkToFit="false"/>
      <protection locked="false" hidden="false"/>
    </xf>
    <xf numFmtId="165" fontId="9" fillId="4" borderId="1" xfId="0" applyFont="true" applyBorder="true" applyAlignment="true" applyProtection="true">
      <alignment horizontal="general" vertical="bottom" textRotation="0" wrapText="false" indent="0" shrinkToFit="false"/>
      <protection locked="fals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11" fillId="5" borderId="0" xfId="0" applyFont="true" applyBorder="false" applyAlignment="true" applyProtection="true">
      <alignment horizontal="left" vertical="bottom" textRotation="0" wrapText="false" indent="0" shrinkToFit="false"/>
      <protection locked="true" hidden="false"/>
    </xf>
    <xf numFmtId="164" fontId="9" fillId="4" borderId="1" xfId="0" applyFont="true" applyBorder="true" applyAlignment="true" applyProtection="true">
      <alignment horizontal="center" vertical="bottom" textRotation="0" wrapText="false" indent="0" shrinkToFit="false"/>
      <protection locked="false" hidden="false"/>
    </xf>
    <xf numFmtId="166" fontId="9" fillId="4" borderId="1" xfId="0" applyFont="true" applyBorder="true" applyAlignment="true" applyProtection="true">
      <alignment horizontal="general" vertical="bottom" textRotation="0" wrapText="false" indent="0" shrinkToFit="false"/>
      <protection locked="false" hidden="false"/>
    </xf>
    <xf numFmtId="164" fontId="8" fillId="0" borderId="2" xfId="0" applyFont="true" applyBorder="true" applyAlignment="true" applyProtection="true">
      <alignment horizontal="general" vertical="bottom" textRotation="0" wrapText="false" indent="0" shrinkToFit="false"/>
      <protection locked="true" hidden="false"/>
    </xf>
    <xf numFmtId="164" fontId="12" fillId="4" borderId="3" xfId="0" applyFont="true" applyBorder="true" applyAlignment="true" applyProtection="true">
      <alignment horizontal="center" vertical="bottom" textRotation="0" wrapText="false" indent="0" shrinkToFit="false"/>
      <protection locked="fals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7" fontId="14" fillId="6" borderId="4" xfId="0" applyFont="true" applyBorder="true" applyAlignment="true" applyProtection="true">
      <alignment horizontal="center" vertical="bottom" textRotation="0" wrapText="false" indent="0" shrinkToFit="false"/>
      <protection locked="true" hidden="false"/>
    </xf>
    <xf numFmtId="164" fontId="15" fillId="5" borderId="0" xfId="0" applyFont="true" applyBorder="false" applyAlignment="true" applyProtection="true">
      <alignment horizontal="general" vertical="bottom" textRotation="0" wrapText="false" indent="0" shrinkToFit="false"/>
      <protection locked="true" hidden="false"/>
    </xf>
    <xf numFmtId="168" fontId="8" fillId="0" borderId="0" xfId="0" applyFont="true" applyBorder="false" applyAlignment="true" applyProtection="true">
      <alignment horizontal="general" vertical="bottom" textRotation="0" wrapText="false" indent="0" shrinkToFit="false"/>
      <protection locked="true" hidden="false"/>
    </xf>
    <xf numFmtId="168" fontId="16" fillId="0" borderId="0" xfId="0" applyFont="true" applyBorder="false" applyAlignment="true" applyProtection="true">
      <alignment horizontal="general" vertical="bottom" textRotation="0" wrapText="false" indent="0" shrinkToFit="false"/>
      <protection locked="true" hidden="false"/>
    </xf>
    <xf numFmtId="168" fontId="16" fillId="0" borderId="2" xfId="0" applyFont="true" applyBorder="true" applyAlignment="true" applyProtection="true">
      <alignment horizontal="general" vertical="bottom" textRotation="0" wrapText="false" indent="0" shrinkToFit="false"/>
      <protection locked="true" hidden="false"/>
    </xf>
    <xf numFmtId="168" fontId="16" fillId="7" borderId="0" xfId="0" applyFont="true" applyBorder="false" applyAlignment="true" applyProtection="true">
      <alignment horizontal="general" vertical="bottom" textRotation="0" wrapText="false" indent="0" shrinkToFit="false"/>
      <protection locked="true" hidden="false"/>
    </xf>
    <xf numFmtId="164" fontId="11" fillId="5" borderId="0" xfId="0" applyFont="true" applyBorder="false" applyAlignment="true" applyProtection="true">
      <alignment horizontal="general" vertical="bottom" textRotation="0" wrapText="false" indent="0" shrinkToFit="false"/>
      <protection locked="true" hidden="false"/>
    </xf>
    <xf numFmtId="167" fontId="16" fillId="7" borderId="2" xfId="0" applyFont="true" applyBorder="true" applyAlignment="true" applyProtection="true">
      <alignment horizontal="general" vertical="bottom" textRotation="0" wrapText="false" indent="0" shrinkToFit="false"/>
      <protection locked="true" hidden="false"/>
    </xf>
    <xf numFmtId="167" fontId="8" fillId="0" borderId="0" xfId="0" applyFont="true" applyBorder="false" applyAlignment="true" applyProtection="true">
      <alignment horizontal="general" vertical="bottom" textRotation="0" wrapText="false" indent="0" shrinkToFit="false"/>
      <protection locked="true" hidden="false"/>
    </xf>
    <xf numFmtId="168" fontId="16" fillId="7" borderId="2" xfId="0" applyFont="true" applyBorder="true" applyAlignment="true" applyProtection="true">
      <alignment horizontal="general" vertical="bottom" textRotation="0" wrapText="false" indent="0" shrinkToFit="false"/>
      <protection locked="true" hidden="false"/>
    </xf>
    <xf numFmtId="164" fontId="17" fillId="3" borderId="0" xfId="0" applyFont="true" applyBorder="false" applyAlignment="true" applyProtection="true">
      <alignment horizontal="center" vertical="bottom" textRotation="0" wrapText="false" indent="0" shrinkToFit="false"/>
      <protection locked="true" hidden="false"/>
    </xf>
    <xf numFmtId="164" fontId="8" fillId="0" borderId="0" xfId="0" applyFont="true" applyBorder="false" applyAlignment="true" applyProtection="true">
      <alignment horizontal="center" vertical="bottom" textRotation="0" wrapText="false" indent="0" shrinkToFit="false"/>
      <protection locked="true" hidden="false"/>
    </xf>
    <xf numFmtId="169" fontId="8" fillId="0" borderId="0" xfId="0" applyFont="true" applyBorder="false" applyAlignment="true" applyProtection="true">
      <alignment horizontal="general" vertical="bottom" textRotation="0" wrapText="false" indent="0" shrinkToFit="false"/>
      <protection locked="true" hidden="false"/>
    </xf>
    <xf numFmtId="164" fontId="16" fillId="0" borderId="2" xfId="0" applyFont="true" applyBorder="true" applyAlignment="true" applyProtection="true">
      <alignment horizontal="general" vertical="bottom" textRotation="0" wrapText="false" indent="0" shrinkToFit="false"/>
      <protection locked="true" hidden="false"/>
    </xf>
    <xf numFmtId="168" fontId="18" fillId="3" borderId="2" xfId="0" applyFont="true" applyBorder="true" applyAlignment="true" applyProtection="true">
      <alignment horizontal="general" vertical="bottom" textRotation="0" wrapText="false" indent="0" shrinkToFit="false"/>
      <protection locked="true" hidden="false"/>
    </xf>
    <xf numFmtId="164" fontId="19" fillId="0" borderId="0" xfId="0" applyFont="true" applyBorder="true" applyAlignment="true" applyProtection="true">
      <alignment horizontal="left" vertical="bottom" textRotation="0" wrapText="tru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xf numFmtId="164" fontId="21" fillId="2" borderId="0" xfId="0" applyFont="true" applyBorder="true" applyAlignment="true" applyProtection="true">
      <alignment horizontal="center" vertical="center" textRotation="0" wrapText="false" indent="0" shrinkToFit="false"/>
      <protection locked="true" hidden="false"/>
    </xf>
    <xf numFmtId="164" fontId="22" fillId="0" borderId="0" xfId="0" applyFont="true" applyBorder="false" applyAlignment="true" applyProtection="true">
      <alignment horizontal="general" vertical="bottom" textRotation="0" wrapText="false" indent="0" shrinkToFit="false"/>
      <protection locked="true" hidden="false"/>
    </xf>
    <xf numFmtId="168" fontId="23" fillId="0" borderId="2" xfId="0" applyFont="true" applyBorder="true" applyAlignment="true" applyProtection="true">
      <alignment horizontal="general" vertical="bottom" textRotation="0" wrapText="false" indent="0" shrinkToFit="false"/>
      <protection locked="true" hidden="false"/>
    </xf>
    <xf numFmtId="167" fontId="23" fillId="0" borderId="2" xfId="0" applyFont="true" applyBorder="true" applyAlignment="true" applyProtection="true">
      <alignment horizontal="general" vertical="bottom" textRotation="0" wrapText="false" indent="0" shrinkToFit="false"/>
      <protection locked="true" hidden="false"/>
    </xf>
    <xf numFmtId="168" fontId="23" fillId="0" borderId="5" xfId="0" applyFont="true" applyBorder="true" applyAlignment="true" applyProtection="true">
      <alignment horizontal="general" vertical="bottom" textRotation="0" wrapText="false" indent="0" shrinkToFit="false"/>
      <protection locked="true" hidden="false"/>
    </xf>
    <xf numFmtId="167" fontId="23" fillId="0" borderId="5" xfId="0" applyFont="true" applyBorder="true" applyAlignment="true" applyProtection="true">
      <alignment horizontal="general" vertical="bottom" textRotation="0" wrapText="false" indent="0" shrinkToFit="false"/>
      <protection locked="true" hidden="false"/>
    </xf>
    <xf numFmtId="164" fontId="8" fillId="0" borderId="5" xfId="0" applyFont="true" applyBorder="true" applyAlignment="true" applyProtection="true">
      <alignment horizontal="general" vertical="bottom" textRotation="0" wrapText="false" indent="0" shrinkToFit="false"/>
      <protection locked="true" hidden="false"/>
    </xf>
    <xf numFmtId="168" fontId="23" fillId="0" borderId="6" xfId="0" applyFont="true" applyBorder="true" applyAlignment="true" applyProtection="true">
      <alignment horizontal="general" vertical="bottom" textRotation="0" wrapText="false" indent="0" shrinkToFit="false"/>
      <protection locked="true" hidden="false"/>
    </xf>
    <xf numFmtId="167" fontId="23" fillId="0" borderId="6" xfId="0" applyFont="true" applyBorder="true" applyAlignment="true" applyProtection="true">
      <alignment horizontal="general" vertical="bottom" textRotation="0" wrapText="false" indent="0" shrinkToFit="false"/>
      <protection locked="true" hidden="false"/>
    </xf>
    <xf numFmtId="164" fontId="8" fillId="0" borderId="6" xfId="0" applyFont="true" applyBorder="true" applyAlignment="true" applyProtection="true">
      <alignment horizontal="general" vertical="bottom" textRotation="0" wrapText="false" indent="0" shrinkToFit="false"/>
      <protection locked="true" hidden="false"/>
    </xf>
    <xf numFmtId="164" fontId="17" fillId="2" borderId="0" xfId="0" applyFont="true" applyBorder="true" applyAlignment="true" applyProtection="true">
      <alignment horizontal="general" vertical="bottom" textRotation="0" wrapText="false" indent="1" shrinkToFit="false"/>
      <protection locked="true" hidden="false"/>
    </xf>
    <xf numFmtId="165" fontId="23" fillId="0" borderId="5" xfId="0" applyFont="true" applyBorder="true" applyAlignment="true" applyProtection="true">
      <alignment horizontal="general" vertical="bottom" textRotation="0" wrapText="false" indent="0" shrinkToFit="false"/>
      <protection locked="true" hidden="false"/>
    </xf>
    <xf numFmtId="165" fontId="23" fillId="0" borderId="7" xfId="0" applyFont="true" applyBorder="true" applyAlignment="true" applyProtection="true">
      <alignment horizontal="general" vertical="bottom" textRotation="0" wrapText="false" indent="0" shrinkToFit="false"/>
      <protection locked="true" hidden="false"/>
    </xf>
    <xf numFmtId="164" fontId="8" fillId="0" borderId="7" xfId="0" applyFont="true" applyBorder="true" applyAlignment="true" applyProtection="true">
      <alignment horizontal="general" vertical="bottom" textRotation="0" wrapText="false" indent="0" shrinkToFit="false"/>
      <protection locked="true" hidden="false"/>
    </xf>
    <xf numFmtId="169" fontId="9" fillId="4" borderId="8" xfId="0" applyFont="true" applyBorder="true" applyAlignment="true" applyProtection="true">
      <alignment horizontal="general" vertical="bottom" textRotation="0" wrapText="false" indent="0" shrinkToFit="false"/>
      <protection locked="true" hidden="false"/>
    </xf>
    <xf numFmtId="167" fontId="23" fillId="0" borderId="0" xfId="0" applyFont="true" applyBorder="false" applyAlignment="true" applyProtection="true">
      <alignment horizontal="general" vertical="bottom" textRotation="0" wrapText="false" indent="0" shrinkToFit="false"/>
      <protection locked="true" hidden="false"/>
    </xf>
    <xf numFmtId="165" fontId="23" fillId="0" borderId="0" xfId="0" applyFont="true" applyBorder="false" applyAlignment="true" applyProtection="true">
      <alignment horizontal="general" vertical="bottom" textRotation="0" wrapText="false" indent="0" shrinkToFit="false"/>
      <protection locked="true" hidden="false"/>
    </xf>
    <xf numFmtId="164" fontId="24" fillId="0" borderId="0" xfId="0" applyFont="true" applyBorder="false" applyAlignment="true" applyProtection="true">
      <alignment horizontal="general" vertical="bottom" textRotation="0" wrapText="false" indent="0" shrinkToFit="false"/>
      <protection locked="true" hidden="false"/>
    </xf>
    <xf numFmtId="164" fontId="25" fillId="2" borderId="0" xfId="0" applyFont="true" applyBorder="true" applyAlignment="true" applyProtection="true">
      <alignment horizontal="center" vertical="center" textRotation="0" wrapText="false" indent="0" shrinkToFit="false"/>
      <protection locked="true" hidden="false"/>
    </xf>
    <xf numFmtId="164" fontId="26" fillId="3" borderId="0" xfId="0" applyFont="true" applyBorder="false" applyAlignment="true" applyProtection="true">
      <alignment horizontal="center" vertical="center" textRotation="0" wrapText="true" indent="0" shrinkToFit="false"/>
      <protection locked="true" hidden="false"/>
    </xf>
    <xf numFmtId="164" fontId="26" fillId="3" borderId="0" xfId="0" applyFont="true" applyBorder="false" applyAlignment="true" applyProtection="true">
      <alignment horizontal="general" vertical="bottom" textRotation="0" wrapText="false" indent="0" shrinkToFit="false"/>
      <protection locked="true" hidden="false"/>
    </xf>
    <xf numFmtId="166" fontId="8" fillId="8" borderId="9" xfId="0" applyFont="true" applyBorder="true" applyAlignment="true" applyProtection="true">
      <alignment horizontal="center" vertical="bottom" textRotation="0" wrapText="false" indent="0" shrinkToFit="false"/>
      <protection locked="true" hidden="false"/>
    </xf>
    <xf numFmtId="168" fontId="8" fillId="8" borderId="10" xfId="0" applyFont="true" applyBorder="true" applyAlignment="true" applyProtection="true">
      <alignment horizontal="general" vertical="bottom" textRotation="0" wrapText="false" indent="0" shrinkToFit="false"/>
      <protection locked="true" hidden="false"/>
    </xf>
    <xf numFmtId="168" fontId="8" fillId="8" borderId="11" xfId="0" applyFont="true" applyBorder="true" applyAlignment="true" applyProtection="true">
      <alignment horizontal="general" vertical="bottom" textRotation="0" wrapText="false" indent="0" shrinkToFit="false"/>
      <protection locked="true" hidden="false"/>
    </xf>
    <xf numFmtId="166" fontId="8" fillId="0" borderId="12" xfId="0" applyFont="true" applyBorder="true" applyAlignment="true" applyProtection="true">
      <alignment horizontal="center" vertical="bottom" textRotation="0" wrapText="false" indent="0" shrinkToFit="false"/>
      <protection locked="true" hidden="false"/>
    </xf>
    <xf numFmtId="168" fontId="8" fillId="0" borderId="13" xfId="0" applyFont="true" applyBorder="true" applyAlignment="true" applyProtection="true">
      <alignment horizontal="general" vertical="bottom" textRotation="0" wrapText="false" indent="0" shrinkToFit="false"/>
      <protection locked="true" hidden="false"/>
    </xf>
    <xf numFmtId="168" fontId="8" fillId="0" borderId="14" xfId="0" applyFont="true" applyBorder="true" applyAlignment="true" applyProtection="true">
      <alignment horizontal="general" vertical="bottom" textRotation="0" wrapText="false" indent="0" shrinkToFit="false"/>
      <protection locked="true" hidden="false"/>
    </xf>
    <xf numFmtId="166" fontId="8" fillId="8" borderId="12" xfId="0" applyFont="true" applyBorder="true" applyAlignment="true" applyProtection="true">
      <alignment horizontal="center" vertical="bottom" textRotation="0" wrapText="false" indent="0" shrinkToFit="false"/>
      <protection locked="true" hidden="false"/>
    </xf>
    <xf numFmtId="168" fontId="8" fillId="8" borderId="13" xfId="0" applyFont="true" applyBorder="true" applyAlignment="true" applyProtection="true">
      <alignment horizontal="general" vertical="bottom" textRotation="0" wrapText="false" indent="0" shrinkToFit="false"/>
      <protection locked="true" hidden="false"/>
    </xf>
    <xf numFmtId="168" fontId="8" fillId="8" borderId="14" xfId="0" applyFont="true" applyBorder="true" applyAlignment="true" applyProtection="true">
      <alignment horizontal="general" vertical="bottom" textRotation="0" wrapText="false" indent="0" shrinkToFit="false"/>
      <protection locked="true" hidden="false"/>
    </xf>
    <xf numFmtId="166" fontId="8" fillId="0" borderId="15" xfId="0" applyFont="true" applyBorder="true" applyAlignment="true" applyProtection="true">
      <alignment horizontal="center" vertical="bottom" textRotation="0" wrapText="false" indent="0" shrinkToFit="false"/>
      <protection locked="true" hidden="false"/>
    </xf>
    <xf numFmtId="168" fontId="8" fillId="0" borderId="16" xfId="0" applyFont="true" applyBorder="true" applyAlignment="true" applyProtection="true">
      <alignment horizontal="general" vertical="bottom" textRotation="0" wrapText="false" indent="0" shrinkToFit="false"/>
      <protection locked="true" hidden="false"/>
    </xf>
    <xf numFmtId="168" fontId="8" fillId="0" borderId="17" xfId="0" applyFont="true" applyBorder="true" applyAlignment="true" applyProtection="true">
      <alignment horizontal="general" vertical="bottom" textRotation="0" wrapText="false" indent="0" shrinkToFit="false"/>
      <protection locked="true" hidden="false"/>
    </xf>
    <xf numFmtId="166" fontId="8" fillId="0" borderId="0" xfId="0" applyFont="true" applyBorder="false" applyAlignment="true" applyProtection="true">
      <alignment horizontal="general" vertical="bottom" textRotation="0" wrapText="false" indent="0" shrinkToFit="false"/>
      <protection locked="true" hidden="false"/>
    </xf>
    <xf numFmtId="166" fontId="8" fillId="3" borderId="18" xfId="0" applyFont="true" applyBorder="true" applyAlignment="true" applyProtection="true">
      <alignment horizontal="center" vertical="bottom" textRotation="0" wrapText="false" indent="0" shrinkToFit="false"/>
      <protection locked="true" hidden="false"/>
    </xf>
    <xf numFmtId="168" fontId="8" fillId="3" borderId="18" xfId="0" applyFont="true" applyBorder="true" applyAlignment="true" applyProtection="true">
      <alignment horizontal="general" vertical="bottom" textRotation="0" wrapText="false" indent="0" shrinkToFit="false"/>
      <protection locked="true" hidden="false"/>
    </xf>
    <xf numFmtId="164" fontId="17" fillId="3" borderId="0" xfId="0" applyFont="true" applyBorder="false" applyAlignment="true" applyProtection="true">
      <alignment horizontal="general" vertical="bottom" textRotation="0" wrapText="false" indent="0" shrinkToFit="false"/>
      <protection locked="true" hidden="false"/>
    </xf>
    <xf numFmtId="168" fontId="17" fillId="3"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FAFAFA"/>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7E6E6"/>
      <rgbColor rgb="FFCCFFCC"/>
      <rgbColor rgb="FFFFFF99"/>
      <rgbColor rgb="FF99CCFF"/>
      <rgbColor rgb="FFFF99CC"/>
      <rgbColor rgb="FFCC99FF"/>
      <rgbColor rgb="FFFDE4D2"/>
      <rgbColor rgb="FF3366FF"/>
      <rgbColor rgb="FF33CCCC"/>
      <rgbColor rgb="FF99CC00"/>
      <rgbColor rgb="FFFFCC00"/>
      <rgbColor rgb="FFFF9900"/>
      <rgbColor rgb="FFF26B1F"/>
      <rgbColor rgb="FF666666"/>
      <rgbColor rgb="FF969696"/>
      <rgbColor rgb="FF003366"/>
      <rgbColor rgb="FF339966"/>
      <rgbColor rgb="FF0A0A0A"/>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6480</xdr:colOff>
      <xdr:row>0</xdr:row>
      <xdr:rowOff>0</xdr:rowOff>
    </xdr:from>
    <xdr:to>
      <xdr:col>0</xdr:col>
      <xdr:colOff>2154240</xdr:colOff>
      <xdr:row>0</xdr:row>
      <xdr:rowOff>691560</xdr:rowOff>
    </xdr:to>
    <xdr:pic>
      <xdr:nvPicPr>
        <xdr:cNvPr id="0" name="FreedomGameplanLogo" descr=""/>
        <xdr:cNvPicPr/>
      </xdr:nvPicPr>
      <xdr:blipFill>
        <a:blip r:embed="rId1"/>
        <a:stretch/>
      </xdr:blipFill>
      <xdr:spPr>
        <a:xfrm>
          <a:off x="6480" y="0"/>
          <a:ext cx="2147760" cy="6915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101520</xdr:colOff>
      <xdr:row>0</xdr:row>
      <xdr:rowOff>50760</xdr:rowOff>
    </xdr:from>
    <xdr:to>
      <xdr:col>0</xdr:col>
      <xdr:colOff>1749240</xdr:colOff>
      <xdr:row>0</xdr:row>
      <xdr:rowOff>581040</xdr:rowOff>
    </xdr:to>
    <xdr:pic>
      <xdr:nvPicPr>
        <xdr:cNvPr id="1" name="FreedomGameplanLogo" descr=""/>
        <xdr:cNvPicPr/>
      </xdr:nvPicPr>
      <xdr:blipFill>
        <a:blip r:embed="rId1"/>
        <a:stretch/>
      </xdr:blipFill>
      <xdr:spPr>
        <a:xfrm>
          <a:off x="101520" y="50760"/>
          <a:ext cx="1647720" cy="5302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101520</xdr:colOff>
      <xdr:row>0</xdr:row>
      <xdr:rowOff>50760</xdr:rowOff>
    </xdr:from>
    <xdr:to>
      <xdr:col>1</xdr:col>
      <xdr:colOff>987120</xdr:colOff>
      <xdr:row>0</xdr:row>
      <xdr:rowOff>581040</xdr:rowOff>
    </xdr:to>
    <xdr:pic>
      <xdr:nvPicPr>
        <xdr:cNvPr id="2" name="FreedomGameplanLogo" descr=""/>
        <xdr:cNvPicPr/>
      </xdr:nvPicPr>
      <xdr:blipFill>
        <a:blip r:embed="rId1"/>
        <a:stretch/>
      </xdr:blipFill>
      <xdr:spPr>
        <a:xfrm>
          <a:off x="101520" y="50760"/>
          <a:ext cx="1833120" cy="5302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pitchFamily="0" charset="1"/>
        <a:ea typeface=""/>
        <a:cs typeface=""/>
      </a:majorFont>
      <a:minorFont>
        <a:latin typeface="Aptos Narrow" panose="0211000402020202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70"/>
  <sheetViews>
    <sheetView showFormulas="false" showGridLines="true" showRowColHeaders="true" showZeros="true" rightToLeft="false" tabSelected="true" showOutlineSymbols="true" defaultGridColor="true" view="normal" topLeftCell="A1" colorId="64" zoomScale="86" zoomScaleNormal="86" zoomScalePageLayoutView="100" workbookViewId="0">
      <pane xSplit="0" ySplit="3" topLeftCell="A4" activePane="bottomLeft" state="frozen"/>
      <selection pane="topLeft" activeCell="A1" activeCellId="0" sqref="A1"/>
      <selection pane="bottomLeft" activeCell="B7" activeCellId="0" sqref="B7"/>
    </sheetView>
  </sheetViews>
  <sheetFormatPr defaultColWidth="8.5390625" defaultRowHeight="14.25" zeroHeight="false" outlineLevelRow="0" outlineLevelCol="0"/>
  <cols>
    <col collapsed="false" customWidth="true" hidden="false" outlineLevel="0" max="1" min="1" style="1" width="51.53"/>
    <col collapsed="false" customWidth="true" hidden="false" outlineLevel="0" max="2" min="2" style="1" width="25.8"/>
    <col collapsed="false" customWidth="true" hidden="false" outlineLevel="0" max="3" min="3" style="1" width="42.67"/>
    <col collapsed="false" customWidth="true" hidden="false" outlineLevel="0" max="4" min="4" style="1" width="27.2"/>
  </cols>
  <sheetData>
    <row r="1" customFormat="false" ht="54.75" hidden="false" customHeight="true" outlineLevel="0" collapsed="false">
      <c r="A1" s="2" t="s">
        <v>0</v>
      </c>
      <c r="B1" s="2"/>
      <c r="C1" s="2"/>
      <c r="D1" s="2"/>
    </row>
    <row r="2" customFormat="false" ht="77.25" hidden="false" customHeight="true" outlineLevel="0" collapsed="false">
      <c r="A2" s="3" t="s">
        <v>1</v>
      </c>
      <c r="B2" s="3"/>
      <c r="C2" s="3"/>
      <c r="D2" s="3"/>
    </row>
    <row r="3" customFormat="false" ht="21.75" hidden="false" customHeight="true" outlineLevel="0" collapsed="false">
      <c r="A3" s="4" t="s">
        <v>2</v>
      </c>
      <c r="B3" s="4"/>
      <c r="C3" s="4"/>
      <c r="D3" s="4"/>
    </row>
    <row r="4" customFormat="false" ht="14.25" hidden="false" customHeight="true" outlineLevel="0" collapsed="false"/>
    <row r="5" customFormat="false" ht="14.25" hidden="false" customHeight="true" outlineLevel="0" collapsed="false">
      <c r="A5" s="5" t="s">
        <v>3</v>
      </c>
      <c r="B5" s="5"/>
      <c r="C5" s="5"/>
      <c r="D5" s="5"/>
    </row>
    <row r="6" customFormat="false" ht="14.25" hidden="false" customHeight="true" outlineLevel="0" collapsed="false">
      <c r="A6" s="6" t="s">
        <v>4</v>
      </c>
      <c r="B6" s="7" t="n">
        <v>130000</v>
      </c>
      <c r="C6" s="6"/>
      <c r="D6" s="6"/>
    </row>
    <row r="7" customFormat="false" ht="14.25" hidden="false" customHeight="true" outlineLevel="0" collapsed="false">
      <c r="A7" s="6" t="s">
        <v>5</v>
      </c>
      <c r="B7" s="8" t="n">
        <v>15000</v>
      </c>
      <c r="C7" s="9" t="s">
        <v>6</v>
      </c>
      <c r="D7" s="10" t="str">
        <f aca="false">IF(AND(B8="Concessional",B7&gt;B6),"⚠ Contribution exceeds salary — not possible",IF(B7&gt;'Tax Rates'!$B$15,"⚠ Exceeds the $15,000/yr FHSS cap — only the first $15,000 is eligible each year; figures below use the capped amount",IF(AND(B8="Concessional",B13&lt;'Tax Rates'!$B$12),"⚠ Your MTR is below the 15% contributions tax. Concessional FHSS will COST you tax, not save it.","")))</f>
        <v/>
      </c>
    </row>
    <row r="8" customFormat="false" ht="14.25" hidden="false" customHeight="true" outlineLevel="0" collapsed="false">
      <c r="A8" s="6" t="s">
        <v>7</v>
      </c>
      <c r="B8" s="11" t="s">
        <v>8</v>
      </c>
      <c r="C8" s="9" t="s">
        <v>9</v>
      </c>
      <c r="D8" s="6"/>
    </row>
    <row r="9" customFormat="false" ht="14.25" hidden="false" customHeight="true" outlineLevel="0" collapsed="false">
      <c r="A9" s="6" t="s">
        <v>10</v>
      </c>
      <c r="B9" s="12" t="n">
        <v>3</v>
      </c>
      <c r="C9" s="6"/>
      <c r="D9" s="6"/>
    </row>
    <row r="10" customFormat="false" ht="14.25" hidden="false" customHeight="true" outlineLevel="0" collapsed="false">
      <c r="A10" s="13" t="s">
        <v>11</v>
      </c>
      <c r="B10" s="12" t="n">
        <v>3</v>
      </c>
      <c r="C10" s="13"/>
      <c r="D10" s="13"/>
    </row>
    <row r="11" customFormat="false" ht="14.25" hidden="false" customHeight="true" outlineLevel="0" collapsed="false">
      <c r="A11" s="6" t="s">
        <v>12</v>
      </c>
      <c r="B11" s="14" t="s">
        <v>13</v>
      </c>
      <c r="C11" s="15" t="str">
        <f aca="false">IF(B11="Auto",IF(B6&gt;'Tax Rates'!$B$19,"⚠ Auto-applied: salary &gt; $250k threshold","Auto: not triggered (salary &lt; $250k)"),IF(B11="Yes","Manually applied (+15% on contributions)","Manually disabled"))</f>
        <v>Auto: not triggered (salary &lt; $250k)</v>
      </c>
    </row>
    <row r="12" customFormat="false" ht="14.25" hidden="false" customHeight="true" outlineLevel="0" collapsed="false">
      <c r="A12" s="5" t="s">
        <v>14</v>
      </c>
      <c r="B12" s="5"/>
      <c r="C12" s="5"/>
      <c r="D12" s="5"/>
    </row>
    <row r="13" customFormat="false" ht="14.25" hidden="false" customHeight="true" outlineLevel="0" collapsed="false">
      <c r="A13" s="6" t="s">
        <v>15</v>
      </c>
      <c r="B13" s="16" t="n">
        <f aca="false">IF(B6&lt;='Tax Rates'!$B$4,0,INDEX('Tax Rates'!$C$4:$C$8,MATCH(B6,'Tax Rates'!$A$4:$A$8,1))+'Tax Rates'!$B$11)</f>
        <v>0.32</v>
      </c>
      <c r="C13" s="17" t="s">
        <v>16</v>
      </c>
      <c r="D13" s="6"/>
    </row>
    <row r="14" customFormat="false" ht="14.25" hidden="false" customHeight="true" outlineLevel="0" collapsed="false">
      <c r="A14" s="6" t="s">
        <v>17</v>
      </c>
      <c r="B14" s="18" t="n">
        <f aca="false">MAX(0,INDEX('Tax Rates'!$D$4:$D$8,MATCH(MAX(B6,0),'Tax Rates'!$A$4:$A$8,1))+(MAX(B6,0)-INDEX('Tax Rates'!$F$4:$F$8,MATCH(MAX(B6,0),'Tax Rates'!$A$4:$A$8,1)))*INDEX('Tax Rates'!$C$4:$C$8,MATCH(MAX(B6,0),'Tax Rates'!$A$4:$A$8,1)))+MIN(MAX(B6,0)*'Tax Rates'!$B$11,MAX(0,'Tax Rates'!$B$24*(MAX(B6,0)-'Tax Rates'!$B$23)))</f>
        <v>32120</v>
      </c>
      <c r="C14" s="6"/>
      <c r="D14" s="6"/>
    </row>
    <row r="15" customFormat="false" ht="14.25" hidden="false" customHeight="true" outlineLevel="0" collapsed="false">
      <c r="A15" s="9" t="s">
        <v>18</v>
      </c>
      <c r="B15" s="6"/>
      <c r="C15" s="6"/>
      <c r="D15" s="6"/>
    </row>
    <row r="16" customFormat="false" ht="14.25" hidden="false" customHeight="true" outlineLevel="0" collapsed="false">
      <c r="A16" s="6" t="s">
        <v>19</v>
      </c>
      <c r="B16" s="19" t="n">
        <f aca="false">B14</f>
        <v>32120</v>
      </c>
      <c r="C16" s="6"/>
      <c r="D16" s="6"/>
    </row>
    <row r="17" customFormat="false" ht="14.25" hidden="false" customHeight="true" outlineLevel="0" collapsed="false">
      <c r="A17" s="13" t="s">
        <v>20</v>
      </c>
      <c r="B17" s="20" t="n">
        <f aca="false">B6-B16</f>
        <v>97880</v>
      </c>
      <c r="C17" s="13"/>
      <c r="D17" s="13"/>
    </row>
    <row r="18" customFormat="false" ht="14.25" hidden="false" customHeight="true" outlineLevel="0" collapsed="false">
      <c r="A18" s="1" t="s">
        <v>21</v>
      </c>
      <c r="B18" s="19" t="n">
        <f aca="false">MIN(B7,'Tax Rates'!$B$15)</f>
        <v>15000</v>
      </c>
      <c r="C18" s="1" t="s">
        <v>22</v>
      </c>
    </row>
    <row r="19" customFormat="false" ht="14.25" hidden="false" customHeight="true" outlineLevel="0" collapsed="false">
      <c r="A19" s="5" t="s">
        <v>23</v>
      </c>
      <c r="B19" s="5"/>
      <c r="C19" s="5"/>
      <c r="D19" s="5"/>
    </row>
    <row r="20" customFormat="false" ht="14.25" hidden="false" customHeight="true" outlineLevel="0" collapsed="false">
      <c r="A20" s="6" t="s">
        <v>24</v>
      </c>
      <c r="B20" s="18" t="n">
        <f aca="false">IF(B8="Concessional",MAX(B6-B18,0),B6)</f>
        <v>115000</v>
      </c>
      <c r="C20" s="6"/>
      <c r="D20" s="6"/>
    </row>
    <row r="21" customFormat="false" ht="14.25" hidden="false" customHeight="true" outlineLevel="0" collapsed="false">
      <c r="A21" s="6" t="s">
        <v>25</v>
      </c>
      <c r="B21" s="18" t="n">
        <f aca="false">MAX(0,INDEX('Tax Rates'!$D$4:$D$8,MATCH(B20,'Tax Rates'!$A$4:$A$8,1))+(B20-INDEX('Tax Rates'!$F$4:$F$8,MATCH(B20,'Tax Rates'!$A$4:$A$8,1)))*INDEX('Tax Rates'!$C$4:$C$8,MATCH(B20,'Tax Rates'!$A$4:$A$8,1)))+MIN(B20*'Tax Rates'!$B$11,MAX(0,'Tax Rates'!$B$24*(B20-'Tax Rates'!$B$23)))</f>
        <v>27320</v>
      </c>
      <c r="C21" s="6"/>
      <c r="D21" s="6"/>
    </row>
    <row r="22" customFormat="false" ht="14.25" hidden="false" customHeight="true" outlineLevel="0" collapsed="false">
      <c r="A22" s="9" t="s">
        <v>18</v>
      </c>
      <c r="B22" s="6"/>
      <c r="C22" s="6"/>
      <c r="D22" s="6"/>
    </row>
    <row r="23" customFormat="false" ht="14.25" hidden="false" customHeight="true" outlineLevel="0" collapsed="false">
      <c r="A23" s="6" t="s">
        <v>26</v>
      </c>
      <c r="B23" s="18" t="n">
        <f aca="false">IF(B8="Concessional",B18*('Tax Rates'!$B$12+IF(OR(B11="Yes",AND(B11="Auto",B6&gt;'Tax Rates'!$B$19)),'Tax Rates'!$B$18,0)),0)</f>
        <v>2250</v>
      </c>
      <c r="C23" s="6"/>
      <c r="D23" s="6"/>
    </row>
    <row r="24" customFormat="false" ht="14.25" hidden="false" customHeight="true" outlineLevel="0" collapsed="false">
      <c r="A24" s="6" t="s">
        <v>27</v>
      </c>
      <c r="B24" s="19" t="n">
        <f aca="false">B21+B23</f>
        <v>29570</v>
      </c>
      <c r="C24" s="6"/>
      <c r="D24" s="6"/>
    </row>
    <row r="25" customFormat="false" ht="14.25" hidden="false" customHeight="true" outlineLevel="0" collapsed="false">
      <c r="A25" s="6" t="s">
        <v>28</v>
      </c>
      <c r="B25" s="18" t="n">
        <f aca="false">IF(B8="Concessional",B18*(1-('Tax Rates'!$B$12+IF(OR(B11="Yes",AND(B11="Auto",B6&gt;'Tax Rates'!$B$19)),'Tax Rates'!$B$18,0))),B18)</f>
        <v>12750</v>
      </c>
      <c r="C25" s="6"/>
      <c r="D25" s="6"/>
    </row>
    <row r="26" customFormat="false" ht="14.25" hidden="false" customHeight="true" outlineLevel="0" collapsed="false">
      <c r="A26" s="13" t="s">
        <v>29</v>
      </c>
      <c r="B26" s="20" t="n">
        <f aca="false">B20-B21</f>
        <v>87680</v>
      </c>
      <c r="C26" s="13"/>
      <c r="D26" s="13"/>
    </row>
    <row r="27" customFormat="false" ht="14.25" hidden="false" customHeight="true" outlineLevel="0" collapsed="false"/>
    <row r="28" customFormat="false" ht="14.25" hidden="false" customHeight="true" outlineLevel="0" collapsed="false">
      <c r="A28" s="5" t="s">
        <v>30</v>
      </c>
      <c r="B28" s="5"/>
      <c r="C28" s="5"/>
      <c r="D28" s="5"/>
    </row>
    <row r="29" customFormat="false" ht="14.25" hidden="false" customHeight="true" outlineLevel="0" collapsed="false">
      <c r="A29" s="6" t="s">
        <v>31</v>
      </c>
      <c r="B29" s="21" t="n">
        <f aca="false">B16-B24</f>
        <v>2550</v>
      </c>
      <c r="C29" s="22" t="str">
        <f aca="false">IF(B29&lt;0,"⚠ Warning: At this income level FHSS contributions tax (15%) exceeds your income tax saving. FHSS may not be beneficial — seek advice.","")</f>
        <v/>
      </c>
      <c r="D29" s="6"/>
    </row>
    <row r="30" customFormat="false" ht="14.25" hidden="false" customHeight="true" outlineLevel="0" collapsed="false">
      <c r="A30" s="13" t="s">
        <v>32</v>
      </c>
      <c r="B30" s="23" t="n">
        <f aca="false">IFERROR(B29/B18,0)</f>
        <v>0.17</v>
      </c>
      <c r="C30" s="13"/>
      <c r="D30" s="13"/>
    </row>
    <row r="31" customFormat="false" ht="14.25" hidden="false" customHeight="true" outlineLevel="0" collapsed="false"/>
    <row r="32" customFormat="false" ht="14.25" hidden="false" customHeight="true" outlineLevel="0" collapsed="false">
      <c r="A32" s="5" t="s">
        <v>33</v>
      </c>
      <c r="B32" s="5"/>
      <c r="C32" s="5"/>
      <c r="D32" s="5"/>
    </row>
    <row r="33" customFormat="false" ht="14.25" hidden="false" customHeight="true" outlineLevel="0" collapsed="false">
      <c r="A33" s="6" t="s">
        <v>34</v>
      </c>
      <c r="B33" s="18" t="n">
        <f aca="false">IF(B10=0,0,IFERROR(INDEX(Schedule!$C$5:$C$34,MATCH(B10,Schedule!$A$5:$A$34,0)),0))</f>
        <v>45000</v>
      </c>
      <c r="C33" s="9" t="s">
        <v>35</v>
      </c>
      <c r="D33" s="6"/>
    </row>
    <row r="34" customFormat="false" ht="14.25" hidden="false" customHeight="true" outlineLevel="0" collapsed="false">
      <c r="A34" s="6" t="s">
        <v>36</v>
      </c>
      <c r="B34" s="18" t="n">
        <f aca="false">IF(B10=0,0,IFERROR(INDEX(Schedule!$G$5:$G$34,MATCH(B10,Schedule!$A$5:$A$34,0))-INDEX(Schedule!$M$5:$M$34,MATCH(B10,Schedule!$A$5:$A$34,0)),0))</f>
        <v>38250</v>
      </c>
      <c r="C34" s="6"/>
      <c r="D34" s="6"/>
    </row>
    <row r="35" customFormat="false" ht="14.25" hidden="false" customHeight="true" outlineLevel="0" collapsed="false">
      <c r="A35" s="6" t="s">
        <v>37</v>
      </c>
      <c r="B35" s="18" t="n">
        <f aca="false">IF(B10=0,0,IFERROR(INDEX(Schedule!$M$5:$M$34,MATCH(B10,Schedule!$A$5:$A$34,0)),0))</f>
        <v>2739.975</v>
      </c>
      <c r="C35" s="17" t="s">
        <v>38</v>
      </c>
      <c r="D35" s="6"/>
    </row>
    <row r="36" customFormat="false" ht="14.25" hidden="false" customHeight="true" outlineLevel="0" collapsed="false">
      <c r="A36" s="6" t="s">
        <v>39</v>
      </c>
      <c r="B36" s="19" t="n">
        <f aca="false">B34+B35</f>
        <v>40989.975</v>
      </c>
      <c r="C36" s="6"/>
      <c r="D36" s="6"/>
    </row>
    <row r="37" customFormat="false" ht="14.25" hidden="false" customHeight="true" outlineLevel="0" collapsed="false">
      <c r="A37" s="6" t="s">
        <v>40</v>
      </c>
      <c r="B37" s="18" t="n">
        <f aca="false">IF(B8="Concessional",B34+B35,B35)</f>
        <v>40989.975</v>
      </c>
      <c r="C37" s="6"/>
      <c r="D37" s="6"/>
    </row>
    <row r="38" customFormat="false" ht="14.25" hidden="false" customHeight="true" outlineLevel="0" collapsed="false">
      <c r="A38" s="6" t="s">
        <v>41</v>
      </c>
      <c r="B38" s="24" t="n">
        <f aca="false">MAX(B13-'Tax Rates'!$B$13,0)</f>
        <v>0.02</v>
      </c>
      <c r="C38" s="6"/>
      <c r="D38" s="6"/>
    </row>
    <row r="39" customFormat="false" ht="14.25" hidden="false" customHeight="true" outlineLevel="0" collapsed="false">
      <c r="A39" s="6" t="s">
        <v>42</v>
      </c>
      <c r="B39" s="18" t="n">
        <f aca="false">B37*B38</f>
        <v>819.799500000001</v>
      </c>
      <c r="C39" s="6"/>
      <c r="D39" s="6"/>
    </row>
    <row r="40" customFormat="false" ht="14.25" hidden="false" customHeight="true" outlineLevel="0" collapsed="false">
      <c r="A40" s="13" t="s">
        <v>43</v>
      </c>
      <c r="B40" s="25" t="n">
        <f aca="false">B36-B39</f>
        <v>40170.1755</v>
      </c>
      <c r="C40" s="13"/>
      <c r="D40" s="13"/>
    </row>
    <row r="41" customFormat="false" ht="14.25" hidden="false" customHeight="true" outlineLevel="0" collapsed="false"/>
    <row r="42" customFormat="false" ht="14.25" hidden="false" customHeight="true" outlineLevel="0" collapsed="false">
      <c r="A42" s="5" t="s">
        <v>44</v>
      </c>
      <c r="B42" s="5"/>
      <c r="C42" s="5"/>
      <c r="D42" s="5"/>
    </row>
    <row r="43" customFormat="false" ht="14.25" hidden="false" customHeight="true" outlineLevel="0" collapsed="false"/>
    <row r="44" customFormat="false" ht="14.25" hidden="false" customHeight="true" outlineLevel="0" collapsed="false">
      <c r="A44" s="26"/>
      <c r="B44" s="26" t="s">
        <v>45</v>
      </c>
      <c r="C44" s="26" t="s">
        <v>46</v>
      </c>
      <c r="D44" s="26" t="s">
        <v>47</v>
      </c>
    </row>
    <row r="45" customFormat="false" ht="14.25" hidden="false" customHeight="true" outlineLevel="0" collapsed="false">
      <c r="A45" s="6" t="s">
        <v>48</v>
      </c>
      <c r="B45" s="18" t="n">
        <f aca="false">B33</f>
        <v>45000</v>
      </c>
      <c r="C45" s="18" t="n">
        <f aca="false">B45</f>
        <v>45000</v>
      </c>
      <c r="D45" s="27" t="s">
        <v>49</v>
      </c>
    </row>
    <row r="46" customFormat="false" ht="14.25" hidden="false" customHeight="true" outlineLevel="0" collapsed="false">
      <c r="A46" s="6" t="s">
        <v>50</v>
      </c>
      <c r="B46" s="18" t="n">
        <f aca="false">IF(B8="Concessional",B45*('Tax Rates'!$B$12+IF(OR(B11="Yes",AND(B11="Auto",B6&gt;'Tax Rates'!$B$19)),'Tax Rates'!$B$18,0)),B45*B13)</f>
        <v>6750</v>
      </c>
      <c r="C46" s="18" t="n">
        <f aca="false">C45*B13</f>
        <v>14400</v>
      </c>
      <c r="D46" s="19" t="n">
        <f aca="false">C46-B46</f>
        <v>7650</v>
      </c>
    </row>
    <row r="47" customFormat="false" ht="14.25" hidden="false" customHeight="true" outlineLevel="0" collapsed="false">
      <c r="A47" s="6" t="s">
        <v>51</v>
      </c>
      <c r="B47" s="18" t="n">
        <f aca="false">B45-B46</f>
        <v>38250</v>
      </c>
      <c r="C47" s="18" t="n">
        <f aca="false">C45-C46</f>
        <v>30600</v>
      </c>
      <c r="D47" s="19" t="n">
        <f aca="false">B47-C47</f>
        <v>7650</v>
      </c>
    </row>
    <row r="48" customFormat="false" ht="14.25" hidden="false" customHeight="true" outlineLevel="0" collapsed="false">
      <c r="A48" s="6" t="s">
        <v>52</v>
      </c>
      <c r="B48" s="28" t="n">
        <f aca="false">'Tax Rates'!$B$17</f>
        <v>0.07</v>
      </c>
      <c r="C48" s="28" t="n">
        <f aca="false">'Tax Rates'!$B$17</f>
        <v>0.07</v>
      </c>
      <c r="D48" s="27" t="s">
        <v>49</v>
      </c>
    </row>
    <row r="49" customFormat="false" ht="14.25" hidden="false" customHeight="true" outlineLevel="0" collapsed="false">
      <c r="A49" s="6" t="s">
        <v>53</v>
      </c>
      <c r="B49" s="18" t="n">
        <f aca="false">B35</f>
        <v>2739.975</v>
      </c>
      <c r="C49" s="18" t="n">
        <f aca="false">IF(B10=0,0,IFERROR(INDEX(Schedule!$N$5:$N$34,MATCH(B10,Schedule!$A$5:$A$34,0)),0))</f>
        <v>2191.98</v>
      </c>
      <c r="D49" s="18" t="n">
        <f aca="false">B49-C49</f>
        <v>547.995000000001</v>
      </c>
    </row>
    <row r="50" customFormat="false" ht="14.25" hidden="false" customHeight="true" outlineLevel="0" collapsed="false">
      <c r="A50" s="6" t="s">
        <v>54</v>
      </c>
      <c r="B50" s="18" t="n">
        <f aca="false">B49*MAX(B13-'Tax Rates'!$B$13,0)</f>
        <v>54.7995000000001</v>
      </c>
      <c r="C50" s="18" t="n">
        <f aca="false">C49*B13</f>
        <v>701.4336</v>
      </c>
      <c r="D50" s="19" t="n">
        <f aca="false">C50-B50</f>
        <v>646.6341</v>
      </c>
    </row>
    <row r="51" customFormat="false" ht="14.25" hidden="false" customHeight="true" outlineLevel="0" collapsed="false">
      <c r="A51" s="29" t="s">
        <v>55</v>
      </c>
      <c r="B51" s="25" t="n">
        <f aca="false">B47+B49-B50</f>
        <v>40935.1755</v>
      </c>
      <c r="C51" s="25" t="n">
        <f aca="false">C47+C49-C50</f>
        <v>32090.5464</v>
      </c>
      <c r="D51" s="30" t="n">
        <f aca="false">B51-C51</f>
        <v>8844.6291</v>
      </c>
    </row>
    <row r="52" customFormat="false" ht="14.25" hidden="false" customHeight="true" outlineLevel="0" collapsed="false"/>
    <row r="53" customFormat="false" ht="14.25" hidden="false" customHeight="true" outlineLevel="0" collapsed="false">
      <c r="A53" s="5" t="s">
        <v>56</v>
      </c>
      <c r="B53" s="5"/>
      <c r="C53" s="5"/>
      <c r="D53" s="5"/>
    </row>
    <row r="54" customFormat="false" ht="14.25" hidden="false" customHeight="true" outlineLevel="0" collapsed="false">
      <c r="A54" s="6" t="s">
        <v>57</v>
      </c>
      <c r="B54" s="21" t="n">
        <f aca="false">IF(B10=0,0,IFERROR(INDEX(Schedule!$E$5:$E$34,MATCH(B10,Schedule!$A$5:$A$34,0)),0))</f>
        <v>7650</v>
      </c>
      <c r="C54" s="6"/>
      <c r="D54" s="6"/>
    </row>
    <row r="55" customFormat="false" ht="14.25" hidden="false" customHeight="true" outlineLevel="0" collapsed="false">
      <c r="A55" s="13" t="s">
        <v>58</v>
      </c>
      <c r="B55" s="30" t="n">
        <f aca="false">D51</f>
        <v>8844.6291</v>
      </c>
      <c r="C55" s="13"/>
      <c r="D55" s="13"/>
    </row>
    <row r="56" customFormat="false" ht="14.25" hidden="false" customHeight="true" outlineLevel="0" collapsed="false"/>
    <row r="57" customFormat="false" ht="14.25" hidden="false" customHeight="true" outlineLevel="0" collapsed="false"/>
    <row r="58" customFormat="false" ht="23.25" hidden="false" customHeight="true" outlineLevel="0" collapsed="false">
      <c r="A58" s="31" t="s">
        <v>59</v>
      </c>
      <c r="B58" s="31"/>
      <c r="C58" s="31"/>
      <c r="D58" s="31"/>
    </row>
    <row r="59" customFormat="false" ht="14.25" hidden="false" customHeight="true" outlineLevel="0" collapsed="false"/>
    <row r="60" customFormat="false" ht="14.25" hidden="false" customHeight="true" outlineLevel="0" collapsed="false">
      <c r="A60" s="32" t="s">
        <v>60</v>
      </c>
    </row>
    <row r="61" customFormat="false" ht="14.25" hidden="false" customHeight="true" outlineLevel="0" collapsed="false">
      <c r="A61" s="32" t="s">
        <v>61</v>
      </c>
    </row>
    <row r="62" customFormat="false" ht="14.25" hidden="false" customHeight="true" outlineLevel="0" collapsed="false"/>
    <row r="63" customFormat="false" ht="14.25" hidden="false" customHeight="true" outlineLevel="0" collapsed="false"/>
    <row r="64" customFormat="false" ht="14.25" hidden="false" customHeight="true" outlineLevel="0" collapsed="false"/>
    <row r="65" customFormat="false" ht="14.25" hidden="false" customHeight="true" outlineLevel="0" collapsed="false"/>
    <row r="66" customFormat="false" ht="14.25" hidden="false" customHeight="true" outlineLevel="0" collapsed="false"/>
    <row r="67" customFormat="false" ht="14.25" hidden="false" customHeight="true" outlineLevel="0" collapsed="false"/>
    <row r="68" customFormat="false" ht="14.25" hidden="false" customHeight="true" outlineLevel="0" collapsed="false"/>
    <row r="69" customFormat="false" ht="14.25" hidden="false" customHeight="true" outlineLevel="0" collapsed="false"/>
    <row r="70" customFormat="false" ht="14.25" hidden="false" customHeight="true" outlineLevel="0" collapsed="false"/>
  </sheetData>
  <sheetProtection sheet="true"/>
  <mergeCells count="11">
    <mergeCell ref="A1:D1"/>
    <mergeCell ref="A2:D2"/>
    <mergeCell ref="A3:D3"/>
    <mergeCell ref="A5:D5"/>
    <mergeCell ref="A12:D12"/>
    <mergeCell ref="A19:D19"/>
    <mergeCell ref="A28:D28"/>
    <mergeCell ref="A32:D32"/>
    <mergeCell ref="A42:D42"/>
    <mergeCell ref="A53:D53"/>
    <mergeCell ref="A58:D58"/>
  </mergeCells>
  <dataValidations count="5">
    <dataValidation allowBlank="true" errorStyle="stop" operator="between" showDropDown="false" showErrorMessage="true" showInputMessage="true" sqref="B8" type="list">
      <formula1>"Concessional,Non-concessional"</formula1>
      <formula2>0</formula2>
    </dataValidation>
    <dataValidation allowBlank="true" errorStyle="stop" operator="between" showDropDown="false" showErrorMessage="true" showInputMessage="true" sqref="B11" type="list">
      <formula1>"Auto,Yes,No"</formula1>
      <formula2>0</formula2>
    </dataValidation>
    <dataValidation allowBlank="true" error="Salary must be zero or more." errorStyle="stop" errorTitle="Invalid salary" operator="greaterThanOrEqual" showDropDown="false" showErrorMessage="true" showInputMessage="false" sqref="B6" type="decimal">
      <formula1>0</formula1>
      <formula2>0</formula2>
    </dataValidation>
    <dataValidation allowBlank="true" error="Contribution must be zero or more." errorStyle="stop" errorTitle="Invalid contribution" operator="greaterThanOrEqual" showDropDown="false" showErrorMessage="true" showInputMessage="false" sqref="B7" type="decimal">
      <formula1>0</formula1>
      <formula2>0</formula2>
    </dataValidation>
    <dataValidation allowBlank="true" error="Enter a whole number of years, 0-30 (matches the Schedule tab's range)." errorStyle="stop" errorTitle="Out of range" operator="between" showDropDown="false" showErrorMessage="true" showInputMessage="false" sqref="B9:B10" type="whole">
      <formula1>0</formula1>
      <formula2>30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19" activeCellId="0" sqref="D19"/>
    </sheetView>
  </sheetViews>
  <sheetFormatPr defaultColWidth="8.5390625" defaultRowHeight="14.25" zeroHeight="false" outlineLevelRow="0" outlineLevelCol="0"/>
  <cols>
    <col collapsed="false" customWidth="true" hidden="false" outlineLevel="0" max="1" min="1" style="1" width="49.8"/>
    <col collapsed="false" customWidth="true" hidden="false" outlineLevel="0" max="2" min="2" style="1" width="23.13"/>
    <col collapsed="false" customWidth="true" hidden="false" outlineLevel="0" max="3" min="3" style="1" width="19.53"/>
    <col collapsed="false" customWidth="true" hidden="false" outlineLevel="0" max="4" min="4" style="1" width="24.86"/>
    <col collapsed="false" customWidth="true" hidden="false" outlineLevel="0" max="5" min="5" style="1" width="51.53"/>
  </cols>
  <sheetData>
    <row r="1" customFormat="false" ht="54.75" hidden="false" customHeight="true" outlineLevel="0" collapsed="false">
      <c r="A1" s="33"/>
      <c r="B1" s="33"/>
      <c r="C1" s="33"/>
      <c r="D1" s="33"/>
      <c r="E1" s="33"/>
    </row>
    <row r="3" customFormat="false" ht="14.25" hidden="false" customHeight="true" outlineLevel="0" collapsed="false">
      <c r="A3" s="26" t="s">
        <v>62</v>
      </c>
      <c r="B3" s="26" t="s">
        <v>63</v>
      </c>
      <c r="C3" s="26" t="s">
        <v>64</v>
      </c>
      <c r="D3" s="26" t="s">
        <v>65</v>
      </c>
      <c r="E3" s="26" t="s">
        <v>66</v>
      </c>
      <c r="F3" s="34" t="s">
        <v>67</v>
      </c>
    </row>
    <row r="4" customFormat="false" ht="14.25" hidden="false" customHeight="true" outlineLevel="0" collapsed="false">
      <c r="A4" s="35" t="n">
        <v>0</v>
      </c>
      <c r="B4" s="35" t="n">
        <v>18200</v>
      </c>
      <c r="C4" s="36" t="n">
        <v>0</v>
      </c>
      <c r="D4" s="35" t="n">
        <v>0</v>
      </c>
      <c r="E4" s="13" t="s">
        <v>68</v>
      </c>
      <c r="F4" s="1" t="n">
        <v>0</v>
      </c>
    </row>
    <row r="5" customFormat="false" ht="14.25" hidden="false" customHeight="true" outlineLevel="0" collapsed="false">
      <c r="A5" s="37" t="n">
        <v>18201</v>
      </c>
      <c r="B5" s="37" t="n">
        <v>45000</v>
      </c>
      <c r="C5" s="38" t="n">
        <v>0.15</v>
      </c>
      <c r="D5" s="37" t="n">
        <v>0</v>
      </c>
      <c r="E5" s="39" t="s">
        <v>69</v>
      </c>
      <c r="F5" s="1" t="n">
        <v>18200</v>
      </c>
    </row>
    <row r="6" customFormat="false" ht="14.25" hidden="false" customHeight="true" outlineLevel="0" collapsed="false">
      <c r="A6" s="37" t="n">
        <v>45001</v>
      </c>
      <c r="B6" s="37" t="n">
        <v>135000</v>
      </c>
      <c r="C6" s="38" t="n">
        <v>0.3</v>
      </c>
      <c r="D6" s="37" t="n">
        <v>4020</v>
      </c>
      <c r="E6" s="39" t="s">
        <v>70</v>
      </c>
      <c r="F6" s="1" t="n">
        <v>45000</v>
      </c>
    </row>
    <row r="7" customFormat="false" ht="14.25" hidden="false" customHeight="true" outlineLevel="0" collapsed="false">
      <c r="A7" s="37" t="n">
        <v>135001</v>
      </c>
      <c r="B7" s="37" t="n">
        <v>190000</v>
      </c>
      <c r="C7" s="38" t="n">
        <v>0.37</v>
      </c>
      <c r="D7" s="37" t="n">
        <v>31020</v>
      </c>
      <c r="E7" s="39" t="s">
        <v>71</v>
      </c>
      <c r="F7" s="1" t="n">
        <v>135000</v>
      </c>
    </row>
    <row r="8" customFormat="false" ht="14.25" hidden="false" customHeight="true" outlineLevel="0" collapsed="false">
      <c r="A8" s="40" t="n">
        <v>190001</v>
      </c>
      <c r="B8" s="40" t="n">
        <v>99999999</v>
      </c>
      <c r="C8" s="41" t="n">
        <v>0.45</v>
      </c>
      <c r="D8" s="40" t="n">
        <v>51370</v>
      </c>
      <c r="E8" s="42" t="s">
        <v>72</v>
      </c>
      <c r="F8" s="1" t="n">
        <v>190000</v>
      </c>
    </row>
    <row r="10" customFormat="false" ht="14.25" hidden="false" customHeight="true" outlineLevel="0" collapsed="false">
      <c r="A10" s="43" t="s">
        <v>73</v>
      </c>
      <c r="B10" s="43"/>
    </row>
    <row r="11" customFormat="false" ht="14.25" hidden="false" customHeight="true" outlineLevel="0" collapsed="false">
      <c r="A11" s="13" t="s">
        <v>74</v>
      </c>
      <c r="B11" s="36" t="n">
        <v>0.02</v>
      </c>
    </row>
    <row r="12" customFormat="false" ht="14.25" hidden="false" customHeight="true" outlineLevel="0" collapsed="false">
      <c r="A12" s="39" t="s">
        <v>75</v>
      </c>
      <c r="B12" s="38" t="n">
        <v>0.15</v>
      </c>
    </row>
    <row r="13" customFormat="false" ht="14.25" hidden="false" customHeight="true" outlineLevel="0" collapsed="false">
      <c r="A13" s="39" t="s">
        <v>76</v>
      </c>
      <c r="B13" s="38" t="n">
        <v>0.3</v>
      </c>
    </row>
    <row r="14" customFormat="false" ht="14.25" hidden="false" customHeight="true" outlineLevel="0" collapsed="false">
      <c r="A14" s="39" t="s">
        <v>77</v>
      </c>
      <c r="B14" s="44" t="n">
        <v>32500</v>
      </c>
    </row>
    <row r="15" customFormat="false" ht="14.25" hidden="false" customHeight="true" outlineLevel="0" collapsed="false">
      <c r="A15" s="39" t="s">
        <v>78</v>
      </c>
      <c r="B15" s="44" t="n">
        <v>15000</v>
      </c>
    </row>
    <row r="16" customFormat="false" ht="14.25" hidden="false" customHeight="true" outlineLevel="0" collapsed="false">
      <c r="A16" s="39" t="s">
        <v>79</v>
      </c>
      <c r="B16" s="45" t="n">
        <v>50000</v>
      </c>
    </row>
    <row r="17" customFormat="false" ht="14.25" hidden="false" customHeight="true" outlineLevel="0" collapsed="false">
      <c r="A17" s="46" t="s">
        <v>80</v>
      </c>
      <c r="B17" s="47" t="n">
        <v>0.07</v>
      </c>
    </row>
    <row r="18" customFormat="false" ht="14.25" hidden="false" customHeight="true" outlineLevel="0" collapsed="false">
      <c r="A18" s="6" t="s">
        <v>81</v>
      </c>
      <c r="B18" s="48" t="n">
        <v>0.15</v>
      </c>
    </row>
    <row r="19" customFormat="false" ht="14.25" hidden="false" customHeight="true" outlineLevel="0" collapsed="false">
      <c r="A19" s="15" t="s">
        <v>82</v>
      </c>
      <c r="B19" s="49" t="n">
        <v>250000</v>
      </c>
    </row>
    <row r="21" customFormat="false" ht="14.25" hidden="false" customHeight="true" outlineLevel="0" collapsed="false">
      <c r="A21" s="50" t="s">
        <v>83</v>
      </c>
    </row>
    <row r="23" customFormat="false" ht="14.25" hidden="false" customHeight="true" outlineLevel="0" collapsed="false">
      <c r="A23" s="1" t="s">
        <v>84</v>
      </c>
      <c r="B23" s="1" t="n">
        <v>28011</v>
      </c>
    </row>
    <row r="24" customFormat="false" ht="14.25" hidden="false" customHeight="true" outlineLevel="0" collapsed="false">
      <c r="A24" s="1" t="s">
        <v>85</v>
      </c>
      <c r="B24" s="1" t="n">
        <v>0.1</v>
      </c>
    </row>
  </sheetData>
  <sheetProtection sheet="true"/>
  <mergeCells count="2">
    <mergeCell ref="A1:E1"/>
    <mergeCell ref="A10:B1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C4" activeCellId="0" sqref="C4"/>
    </sheetView>
  </sheetViews>
  <sheetFormatPr defaultColWidth="8.5390625" defaultRowHeight="14.25" zeroHeight="false" outlineLevelRow="0" outlineLevelCol="0"/>
  <cols>
    <col collapsed="false" customWidth="true" hidden="false" outlineLevel="0" max="1" min="1" style="1" width="10.66"/>
    <col collapsed="false" customWidth="true" hidden="false" outlineLevel="0" max="8" min="2" style="1" width="18"/>
    <col collapsed="false" customWidth="true" hidden="false" outlineLevel="0" max="10" min="9" style="1" width="20"/>
    <col collapsed="false" customWidth="true" hidden="false" outlineLevel="0" max="11" min="11" style="1" width="18"/>
    <col collapsed="false" customWidth="true" hidden="false" outlineLevel="0" max="14" min="12" style="1" width="20"/>
  </cols>
  <sheetData>
    <row r="1" customFormat="false" ht="54.75" hidden="false" customHeight="true" outlineLevel="0" collapsed="false">
      <c r="A1" s="51" t="s">
        <v>86</v>
      </c>
      <c r="B1" s="51"/>
      <c r="C1" s="51"/>
      <c r="D1" s="51"/>
      <c r="E1" s="51"/>
      <c r="F1" s="51"/>
      <c r="G1" s="51"/>
      <c r="H1" s="51"/>
    </row>
    <row r="2" customFormat="false" ht="21.75" hidden="false" customHeight="true" outlineLevel="0" collapsed="false">
      <c r="A2" s="4" t="s">
        <v>87</v>
      </c>
      <c r="B2" s="4"/>
      <c r="C2" s="4"/>
      <c r="D2" s="4"/>
      <c r="E2" s="4"/>
      <c r="F2" s="4"/>
      <c r="G2" s="4"/>
      <c r="H2" s="4"/>
    </row>
    <row r="4" customFormat="false" ht="34.5" hidden="false" customHeight="true" outlineLevel="0" collapsed="false">
      <c r="A4" s="52" t="s">
        <v>88</v>
      </c>
      <c r="B4" s="52" t="s">
        <v>89</v>
      </c>
      <c r="C4" s="52" t="s">
        <v>90</v>
      </c>
      <c r="D4" s="52" t="s">
        <v>91</v>
      </c>
      <c r="E4" s="52" t="s">
        <v>92</v>
      </c>
      <c r="F4" s="52" t="s">
        <v>93</v>
      </c>
      <c r="G4" s="52" t="s">
        <v>94</v>
      </c>
      <c r="H4" s="52" t="s">
        <v>95</v>
      </c>
      <c r="I4" s="53" t="s">
        <v>96</v>
      </c>
      <c r="J4" s="53" t="s">
        <v>97</v>
      </c>
      <c r="K4" s="53" t="s">
        <v>98</v>
      </c>
      <c r="L4" s="53" t="s">
        <v>99</v>
      </c>
      <c r="M4" s="53" t="s">
        <v>100</v>
      </c>
      <c r="N4" s="53" t="s">
        <v>101</v>
      </c>
    </row>
    <row r="5" customFormat="false" ht="14.25" hidden="false" customHeight="true" outlineLevel="0" collapsed="false">
      <c r="A5" s="54" t="n">
        <v>1</v>
      </c>
      <c r="B5" s="55" t="n">
        <f aca="false">IF(A5&lt;='FHSS Calculator'!$B$9,MIN('FHSS Calculator'!$B$18,'Tax Rates'!$B$16-SUM($B$4:B4)),0)</f>
        <v>15000</v>
      </c>
      <c r="C5" s="55" t="n">
        <f aca="false">B5</f>
        <v>15000</v>
      </c>
      <c r="D5" s="55" t="n">
        <f aca="false">IF(A5&lt;='FHSS Calculator'!$B$9,'FHSS Calculator'!$B$29,0)</f>
        <v>2550</v>
      </c>
      <c r="E5" s="55" t="n">
        <f aca="false">D5</f>
        <v>2550</v>
      </c>
      <c r="F5" s="55" t="n">
        <f aca="false">IF('FHSS Calculator'!$B$8="Concessional",B5*(1-('Tax Rates'!$B$12+IF(OR('FHSS Calculator'!$B$11="Yes",AND('FHSS Calculator'!$B$11="Auto",'FHSS Calculator'!$B$6&gt;'Tax Rates'!$B$19)),'Tax Rates'!$B$18,0))),B5)</f>
        <v>12750</v>
      </c>
      <c r="G5" s="55" t="n">
        <f aca="false">F5+H5</f>
        <v>12750</v>
      </c>
      <c r="H5" s="56" t="n">
        <v>0</v>
      </c>
      <c r="I5" s="18" t="n">
        <f aca="false">B5</f>
        <v>15000</v>
      </c>
      <c r="J5" s="18" t="n">
        <f aca="false">I5*(1-'FHSS Calculator'!$B$13)</f>
        <v>10200</v>
      </c>
      <c r="K5" s="18" t="n">
        <v>0</v>
      </c>
      <c r="L5" s="18" t="n">
        <f aca="false">J5+K5</f>
        <v>10200</v>
      </c>
      <c r="M5" s="18" t="n">
        <f aca="false">H5</f>
        <v>0</v>
      </c>
      <c r="N5" s="18" t="n">
        <f aca="false">K5</f>
        <v>0</v>
      </c>
    </row>
    <row r="6" customFormat="false" ht="14.25" hidden="false" customHeight="true" outlineLevel="0" collapsed="false">
      <c r="A6" s="57" t="n">
        <v>2</v>
      </c>
      <c r="B6" s="58" t="n">
        <f aca="false">IF(A6&lt;='FHSS Calculator'!$B$9,MIN('FHSS Calculator'!$B$18,'Tax Rates'!$B$16-SUM($B$4:B5)),0)</f>
        <v>15000</v>
      </c>
      <c r="C6" s="58" t="n">
        <f aca="false">C5+B6</f>
        <v>30000</v>
      </c>
      <c r="D6" s="58" t="n">
        <f aca="false">IF(A6&lt;='FHSS Calculator'!$B$9,'FHSS Calculator'!$B$29,0)</f>
        <v>2550</v>
      </c>
      <c r="E6" s="58" t="n">
        <f aca="false">E5+D6</f>
        <v>5100</v>
      </c>
      <c r="F6" s="58" t="n">
        <f aca="false">IF('FHSS Calculator'!$B$8="Concessional",B6*(1-('Tax Rates'!$B$12+IF(OR('FHSS Calculator'!$B$11="Yes",AND('FHSS Calculator'!$B$11="Auto",'FHSS Calculator'!$B$6&gt;'Tax Rates'!$B$19)),'Tax Rates'!$B$18,0))),B6)</f>
        <v>12750</v>
      </c>
      <c r="G6" s="58" t="n">
        <f aca="false">G5+F6+H6</f>
        <v>26392.5</v>
      </c>
      <c r="H6" s="59" t="n">
        <f aca="false">G5*'Tax Rates'!$B$17</f>
        <v>892.5</v>
      </c>
      <c r="I6" s="18" t="n">
        <f aca="false">B6</f>
        <v>15000</v>
      </c>
      <c r="J6" s="18" t="n">
        <f aca="false">I6*(1-'FHSS Calculator'!$B$13)</f>
        <v>10200</v>
      </c>
      <c r="K6" s="18" t="n">
        <f aca="false">L5*'Tax Rates'!$B$17</f>
        <v>714</v>
      </c>
      <c r="L6" s="18" t="n">
        <f aca="false">L5+J6+K6</f>
        <v>21114</v>
      </c>
      <c r="M6" s="18" t="n">
        <f aca="false">M5+H6</f>
        <v>892.5</v>
      </c>
      <c r="N6" s="18" t="n">
        <f aca="false">N5+K6</f>
        <v>714</v>
      </c>
    </row>
    <row r="7" customFormat="false" ht="14.25" hidden="false" customHeight="true" outlineLevel="0" collapsed="false">
      <c r="A7" s="60" t="n">
        <v>3</v>
      </c>
      <c r="B7" s="61" t="n">
        <f aca="false">IF(A7&lt;='FHSS Calculator'!$B$9,MIN('FHSS Calculator'!$B$18,'Tax Rates'!$B$16-SUM($B$4:B6)),0)</f>
        <v>15000</v>
      </c>
      <c r="C7" s="61" t="n">
        <f aca="false">C6+B7</f>
        <v>45000</v>
      </c>
      <c r="D7" s="61" t="n">
        <f aca="false">IF(A7&lt;='FHSS Calculator'!$B$9,'FHSS Calculator'!$B$29,0)</f>
        <v>2550</v>
      </c>
      <c r="E7" s="61" t="n">
        <f aca="false">E6+D7</f>
        <v>7650</v>
      </c>
      <c r="F7" s="61" t="n">
        <f aca="false">IF('FHSS Calculator'!$B$8="Concessional",B7*(1-('Tax Rates'!$B$12+IF(OR('FHSS Calculator'!$B$11="Yes",AND('FHSS Calculator'!$B$11="Auto",'FHSS Calculator'!$B$6&gt;'Tax Rates'!$B$19)),'Tax Rates'!$B$18,0))),B7)</f>
        <v>12750</v>
      </c>
      <c r="G7" s="61" t="n">
        <f aca="false">G6+F7+H7</f>
        <v>40989.975</v>
      </c>
      <c r="H7" s="62" t="n">
        <f aca="false">G6*'Tax Rates'!$B$17</f>
        <v>1847.475</v>
      </c>
      <c r="I7" s="18" t="n">
        <f aca="false">B7</f>
        <v>15000</v>
      </c>
      <c r="J7" s="18" t="n">
        <f aca="false">I7*(1-'FHSS Calculator'!$B$13)</f>
        <v>10200</v>
      </c>
      <c r="K7" s="18" t="n">
        <f aca="false">L6*'Tax Rates'!$B$17</f>
        <v>1477.98</v>
      </c>
      <c r="L7" s="18" t="n">
        <f aca="false">L6+J7+K7</f>
        <v>32791.98</v>
      </c>
      <c r="M7" s="18" t="n">
        <f aca="false">M6+H7</f>
        <v>2739.975</v>
      </c>
      <c r="N7" s="18" t="n">
        <f aca="false">N6+K7</f>
        <v>2191.98</v>
      </c>
    </row>
    <row r="8" customFormat="false" ht="14.25" hidden="false" customHeight="true" outlineLevel="0" collapsed="false">
      <c r="A8" s="57" t="n">
        <v>4</v>
      </c>
      <c r="B8" s="58" t="n">
        <f aca="false">IF(A8&lt;='FHSS Calculator'!$B$9,MIN('FHSS Calculator'!$B$18,'Tax Rates'!$B$16-SUM($B$4:B7)),0)</f>
        <v>0</v>
      </c>
      <c r="C8" s="58" t="n">
        <f aca="false">C7+B8</f>
        <v>45000</v>
      </c>
      <c r="D8" s="58" t="n">
        <f aca="false">IF(A8&lt;='FHSS Calculator'!$B$9,'FHSS Calculator'!$B$29,0)</f>
        <v>0</v>
      </c>
      <c r="E8" s="58" t="n">
        <f aca="false">E7+D8</f>
        <v>7650</v>
      </c>
      <c r="F8" s="58" t="n">
        <f aca="false">IF('FHSS Calculator'!$B$8="Concessional",B8*(1-('Tax Rates'!$B$12+IF(OR('FHSS Calculator'!$B$11="Yes",AND('FHSS Calculator'!$B$11="Auto",'FHSS Calculator'!$B$6&gt;'Tax Rates'!$B$19)),'Tax Rates'!$B$18,0))),B8)</f>
        <v>0</v>
      </c>
      <c r="G8" s="58" t="n">
        <f aca="false">G7+F8+H8</f>
        <v>43859.27325</v>
      </c>
      <c r="H8" s="59" t="n">
        <f aca="false">G7*'Tax Rates'!$B$17</f>
        <v>2869.29825</v>
      </c>
      <c r="I8" s="18" t="n">
        <f aca="false">B8</f>
        <v>0</v>
      </c>
      <c r="J8" s="18" t="n">
        <f aca="false">I8*(1-'FHSS Calculator'!$B$13)</f>
        <v>0</v>
      </c>
      <c r="K8" s="18" t="n">
        <f aca="false">L7*'Tax Rates'!$B$17</f>
        <v>2295.4386</v>
      </c>
      <c r="L8" s="18" t="n">
        <f aca="false">L7+J8+K8</f>
        <v>35087.4186</v>
      </c>
      <c r="M8" s="18" t="n">
        <f aca="false">M7+H8</f>
        <v>5609.27325</v>
      </c>
      <c r="N8" s="18" t="n">
        <f aca="false">N7+K8</f>
        <v>4487.4186</v>
      </c>
    </row>
    <row r="9" customFormat="false" ht="14.25" hidden="false" customHeight="true" outlineLevel="0" collapsed="false">
      <c r="A9" s="60" t="n">
        <v>5</v>
      </c>
      <c r="B9" s="61" t="n">
        <f aca="false">IF(A9&lt;='FHSS Calculator'!$B$9,MIN('FHSS Calculator'!$B$18,'Tax Rates'!$B$16-SUM($B$4:B8)),0)</f>
        <v>0</v>
      </c>
      <c r="C9" s="61" t="n">
        <f aca="false">C8+B9</f>
        <v>45000</v>
      </c>
      <c r="D9" s="61" t="n">
        <f aca="false">IF(A9&lt;='FHSS Calculator'!$B$9,'FHSS Calculator'!$B$29,0)</f>
        <v>0</v>
      </c>
      <c r="E9" s="61" t="n">
        <f aca="false">E8+D9</f>
        <v>7650</v>
      </c>
      <c r="F9" s="61" t="n">
        <f aca="false">IF('FHSS Calculator'!$B$8="Concessional",B9*(1-('Tax Rates'!$B$12+IF(OR('FHSS Calculator'!$B$11="Yes",AND('FHSS Calculator'!$B$11="Auto",'FHSS Calculator'!$B$6&gt;'Tax Rates'!$B$19)),'Tax Rates'!$B$18,0))),B9)</f>
        <v>0</v>
      </c>
      <c r="G9" s="61" t="n">
        <f aca="false">G8+F9+H9</f>
        <v>46929.4223775</v>
      </c>
      <c r="H9" s="62" t="n">
        <f aca="false">G8*'Tax Rates'!$B$17</f>
        <v>3070.1491275</v>
      </c>
      <c r="I9" s="18" t="n">
        <f aca="false">B9</f>
        <v>0</v>
      </c>
      <c r="J9" s="18" t="n">
        <f aca="false">I9*(1-'FHSS Calculator'!$B$13)</f>
        <v>0</v>
      </c>
      <c r="K9" s="18" t="n">
        <f aca="false">L8*'Tax Rates'!$B$17</f>
        <v>2456.119302</v>
      </c>
      <c r="L9" s="18" t="n">
        <f aca="false">L8+J9+K9</f>
        <v>37543.537902</v>
      </c>
      <c r="M9" s="18" t="n">
        <f aca="false">M8+H9</f>
        <v>8679.4223775</v>
      </c>
      <c r="N9" s="18" t="n">
        <f aca="false">N8+K9</f>
        <v>6943.537902</v>
      </c>
    </row>
    <row r="10" customFormat="false" ht="14.25" hidden="false" customHeight="true" outlineLevel="0" collapsed="false">
      <c r="A10" s="57" t="n">
        <v>6</v>
      </c>
      <c r="B10" s="58" t="n">
        <f aca="false">IF(A10&lt;='FHSS Calculator'!$B$9,MIN('FHSS Calculator'!$B$18,'Tax Rates'!$B$16-SUM($B$4:B9)),0)</f>
        <v>0</v>
      </c>
      <c r="C10" s="58" t="n">
        <f aca="false">C9+B10</f>
        <v>45000</v>
      </c>
      <c r="D10" s="58" t="n">
        <f aca="false">IF(A10&lt;='FHSS Calculator'!$B$9,'FHSS Calculator'!$B$29,0)</f>
        <v>0</v>
      </c>
      <c r="E10" s="58" t="n">
        <f aca="false">E9+D10</f>
        <v>7650</v>
      </c>
      <c r="F10" s="58" t="n">
        <f aca="false">IF('FHSS Calculator'!$B$8="Concessional",B10*(1-('Tax Rates'!$B$12+IF(OR('FHSS Calculator'!$B$11="Yes",AND('FHSS Calculator'!$B$11="Auto",'FHSS Calculator'!$B$6&gt;'Tax Rates'!$B$19)),'Tax Rates'!$B$18,0))),B10)</f>
        <v>0</v>
      </c>
      <c r="G10" s="58" t="n">
        <f aca="false">G9+F10+H10</f>
        <v>50214.481943925</v>
      </c>
      <c r="H10" s="59" t="n">
        <f aca="false">G9*'Tax Rates'!$B$17</f>
        <v>3285.059566425</v>
      </c>
      <c r="I10" s="18" t="n">
        <f aca="false">B10</f>
        <v>0</v>
      </c>
      <c r="J10" s="18" t="n">
        <f aca="false">I10*(1-'FHSS Calculator'!$B$13)</f>
        <v>0</v>
      </c>
      <c r="K10" s="18" t="n">
        <f aca="false">L9*'Tax Rates'!$B$17</f>
        <v>2628.04765314</v>
      </c>
      <c r="L10" s="18" t="n">
        <f aca="false">L9+J10+K10</f>
        <v>40171.58555514</v>
      </c>
      <c r="M10" s="18" t="n">
        <f aca="false">M9+H10</f>
        <v>11964.481943925</v>
      </c>
      <c r="N10" s="18" t="n">
        <f aca="false">N9+K10</f>
        <v>9571.58555514</v>
      </c>
    </row>
    <row r="11" customFormat="false" ht="14.25" hidden="false" customHeight="true" outlineLevel="0" collapsed="false">
      <c r="A11" s="60" t="n">
        <v>7</v>
      </c>
      <c r="B11" s="61" t="n">
        <f aca="false">IF(A11&lt;='FHSS Calculator'!$B$9,MIN('FHSS Calculator'!$B$18,'Tax Rates'!$B$16-SUM($B$4:B10)),0)</f>
        <v>0</v>
      </c>
      <c r="C11" s="61" t="n">
        <f aca="false">C10+B11</f>
        <v>45000</v>
      </c>
      <c r="D11" s="61" t="n">
        <f aca="false">IF(A11&lt;='FHSS Calculator'!$B$9,'FHSS Calculator'!$B$29,0)</f>
        <v>0</v>
      </c>
      <c r="E11" s="61" t="n">
        <f aca="false">E10+D11</f>
        <v>7650</v>
      </c>
      <c r="F11" s="61" t="n">
        <f aca="false">IF('FHSS Calculator'!$B$8="Concessional",B11*(1-('Tax Rates'!$B$12+IF(OR('FHSS Calculator'!$B$11="Yes",AND('FHSS Calculator'!$B$11="Auto",'FHSS Calculator'!$B$6&gt;'Tax Rates'!$B$19)),'Tax Rates'!$B$18,0))),B11)</f>
        <v>0</v>
      </c>
      <c r="G11" s="61" t="n">
        <f aca="false">G10+F11+H11</f>
        <v>53729.4956799997</v>
      </c>
      <c r="H11" s="62" t="n">
        <f aca="false">G10*'Tax Rates'!$B$17</f>
        <v>3515.01373607475</v>
      </c>
      <c r="I11" s="18" t="n">
        <f aca="false">B11</f>
        <v>0</v>
      </c>
      <c r="J11" s="18" t="n">
        <f aca="false">I11*(1-'FHSS Calculator'!$B$13)</f>
        <v>0</v>
      </c>
      <c r="K11" s="18" t="n">
        <f aca="false">L10*'Tax Rates'!$B$17</f>
        <v>2812.0109888598</v>
      </c>
      <c r="L11" s="18" t="n">
        <f aca="false">L10+J11+K11</f>
        <v>42983.5965439998</v>
      </c>
      <c r="M11" s="18" t="n">
        <f aca="false">M10+H11</f>
        <v>15479.4956799998</v>
      </c>
      <c r="N11" s="18" t="n">
        <f aca="false">N10+K11</f>
        <v>12383.5965439998</v>
      </c>
    </row>
    <row r="12" customFormat="false" ht="14.25" hidden="false" customHeight="true" outlineLevel="0" collapsed="false">
      <c r="A12" s="57" t="n">
        <v>8</v>
      </c>
      <c r="B12" s="58" t="n">
        <f aca="false">IF(A12&lt;='FHSS Calculator'!$B$9,MIN('FHSS Calculator'!$B$18,'Tax Rates'!$B$16-SUM($B$4:B11)),0)</f>
        <v>0</v>
      </c>
      <c r="C12" s="58" t="n">
        <f aca="false">C11+B12</f>
        <v>45000</v>
      </c>
      <c r="D12" s="58" t="n">
        <f aca="false">IF(A12&lt;='FHSS Calculator'!$B$9,'FHSS Calculator'!$B$29,0)</f>
        <v>0</v>
      </c>
      <c r="E12" s="58" t="n">
        <f aca="false">E11+D12</f>
        <v>7650</v>
      </c>
      <c r="F12" s="58" t="n">
        <f aca="false">IF('FHSS Calculator'!$B$8="Concessional",B12*(1-('Tax Rates'!$B$12+IF(OR('FHSS Calculator'!$B$11="Yes",AND('FHSS Calculator'!$B$11="Auto",'FHSS Calculator'!$B$6&gt;'Tax Rates'!$B$19)),'Tax Rates'!$B$18,0))),B12)</f>
        <v>0</v>
      </c>
      <c r="G12" s="58" t="n">
        <f aca="false">G11+F12+H12</f>
        <v>57490.5603775997</v>
      </c>
      <c r="H12" s="59" t="n">
        <f aca="false">G11*'Tax Rates'!$B$17</f>
        <v>3761.06469759998</v>
      </c>
      <c r="I12" s="18" t="n">
        <f aca="false">B12</f>
        <v>0</v>
      </c>
      <c r="J12" s="18" t="n">
        <f aca="false">I12*(1-'FHSS Calculator'!$B$13)</f>
        <v>0</v>
      </c>
      <c r="K12" s="18" t="n">
        <f aca="false">L11*'Tax Rates'!$B$17</f>
        <v>3008.85175807999</v>
      </c>
      <c r="L12" s="18" t="n">
        <f aca="false">L11+J12+K12</f>
        <v>45992.4483020798</v>
      </c>
      <c r="M12" s="18" t="n">
        <f aca="false">M11+H12</f>
        <v>19240.5603775997</v>
      </c>
      <c r="N12" s="18" t="n">
        <f aca="false">N11+K12</f>
        <v>15392.4483020798</v>
      </c>
    </row>
    <row r="13" customFormat="false" ht="14.25" hidden="false" customHeight="true" outlineLevel="0" collapsed="false">
      <c r="A13" s="60" t="n">
        <v>9</v>
      </c>
      <c r="B13" s="61" t="n">
        <f aca="false">IF(A13&lt;='FHSS Calculator'!$B$9,MIN('FHSS Calculator'!$B$18,'Tax Rates'!$B$16-SUM($B$4:B12)),0)</f>
        <v>0</v>
      </c>
      <c r="C13" s="61" t="n">
        <f aca="false">C12+B13</f>
        <v>45000</v>
      </c>
      <c r="D13" s="61" t="n">
        <f aca="false">IF(A13&lt;='FHSS Calculator'!$B$9,'FHSS Calculator'!$B$29,0)</f>
        <v>0</v>
      </c>
      <c r="E13" s="61" t="n">
        <f aca="false">E12+D13</f>
        <v>7650</v>
      </c>
      <c r="F13" s="61" t="n">
        <f aca="false">IF('FHSS Calculator'!$B$8="Concessional",B13*(1-('Tax Rates'!$B$12+IF(OR('FHSS Calculator'!$B$11="Yes",AND('FHSS Calculator'!$B$11="Auto",'FHSS Calculator'!$B$6&gt;'Tax Rates'!$B$19)),'Tax Rates'!$B$18,0))),B13)</f>
        <v>0</v>
      </c>
      <c r="G13" s="61" t="n">
        <f aca="false">G12+F13+H13</f>
        <v>61514.8996040317</v>
      </c>
      <c r="H13" s="62" t="n">
        <f aca="false">G12*'Tax Rates'!$B$17</f>
        <v>4024.33922643198</v>
      </c>
      <c r="I13" s="18" t="n">
        <f aca="false">B13</f>
        <v>0</v>
      </c>
      <c r="J13" s="18" t="n">
        <f aca="false">I13*(1-'FHSS Calculator'!$B$13)</f>
        <v>0</v>
      </c>
      <c r="K13" s="18" t="n">
        <f aca="false">L12*'Tax Rates'!$B$17</f>
        <v>3219.47138114559</v>
      </c>
      <c r="L13" s="18" t="n">
        <f aca="false">L12+J13+K13</f>
        <v>49211.9196832254</v>
      </c>
      <c r="M13" s="18" t="n">
        <f aca="false">M12+H13</f>
        <v>23264.8996040317</v>
      </c>
      <c r="N13" s="18" t="n">
        <f aca="false">N12+K13</f>
        <v>18611.9196832254</v>
      </c>
    </row>
    <row r="14" customFormat="false" ht="14.25" hidden="false" customHeight="true" outlineLevel="0" collapsed="false">
      <c r="A14" s="63" t="n">
        <v>10</v>
      </c>
      <c r="B14" s="64" t="n">
        <f aca="false">IF(A14&lt;='FHSS Calculator'!$B$9,MIN('FHSS Calculator'!$B$18,'Tax Rates'!$B$16-SUM($B$4:B13)),0)</f>
        <v>0</v>
      </c>
      <c r="C14" s="64" t="n">
        <f aca="false">C13+B14</f>
        <v>45000</v>
      </c>
      <c r="D14" s="64" t="n">
        <f aca="false">IF(A14&lt;='FHSS Calculator'!$B$9,'FHSS Calculator'!$B$29,0)</f>
        <v>0</v>
      </c>
      <c r="E14" s="64" t="n">
        <f aca="false">E13+D14</f>
        <v>7650</v>
      </c>
      <c r="F14" s="64" t="n">
        <f aca="false">IF('FHSS Calculator'!$B$8="Concessional",B14*(1-('Tax Rates'!$B$12+IF(OR('FHSS Calculator'!$B$11="Yes",AND('FHSS Calculator'!$B$11="Auto",'FHSS Calculator'!$B$6&gt;'Tax Rates'!$B$19)),'Tax Rates'!$B$18,0))),B14)</f>
        <v>0</v>
      </c>
      <c r="G14" s="64" t="n">
        <f aca="false">G13+F14+H14</f>
        <v>65820.9425763139</v>
      </c>
      <c r="H14" s="65" t="n">
        <f aca="false">G13*'Tax Rates'!$B$17</f>
        <v>4306.04297228222</v>
      </c>
      <c r="I14" s="18" t="n">
        <f aca="false">B14</f>
        <v>0</v>
      </c>
      <c r="J14" s="18" t="n">
        <f aca="false">I14*(1-'FHSS Calculator'!$B$13)</f>
        <v>0</v>
      </c>
      <c r="K14" s="18" t="n">
        <f aca="false">L13*'Tax Rates'!$B$17</f>
        <v>3444.83437782578</v>
      </c>
      <c r="L14" s="18" t="n">
        <f aca="false">L13+J14+K14</f>
        <v>52656.7540610512</v>
      </c>
      <c r="M14" s="18" t="n">
        <f aca="false">M13+H14</f>
        <v>27570.9425763139</v>
      </c>
      <c r="N14" s="18" t="n">
        <f aca="false">N13+K14</f>
        <v>22056.7540610511</v>
      </c>
    </row>
    <row r="15" customFormat="false" ht="14.25" hidden="false" customHeight="true" outlineLevel="0" collapsed="false">
      <c r="A15" s="66" t="n">
        <v>11</v>
      </c>
      <c r="B15" s="18" t="n">
        <f aca="false">IF(A15&lt;='FHSS Calculator'!$B$9,MIN('FHSS Calculator'!$B$18,'Tax Rates'!$B$16-SUM($B$4:B14)),0)</f>
        <v>0</v>
      </c>
      <c r="C15" s="18" t="n">
        <f aca="false">C14+B15</f>
        <v>45000</v>
      </c>
      <c r="D15" s="18" t="n">
        <f aca="false">IF(A15&lt;='FHSS Calculator'!$B$9,'FHSS Calculator'!$B$29,0)</f>
        <v>0</v>
      </c>
      <c r="E15" s="18" t="n">
        <f aca="false">E14+D15</f>
        <v>7650</v>
      </c>
      <c r="F15" s="18" t="n">
        <f aca="false">IF('FHSS Calculator'!$B$8="Concessional",B15*(1-('Tax Rates'!$B$12+IF(OR('FHSS Calculator'!$B$11="Yes",AND('FHSS Calculator'!$B$11="Auto",'FHSS Calculator'!$B$6&gt;'Tax Rates'!$B$19)),'Tax Rates'!$B$18,0))),B15)</f>
        <v>0</v>
      </c>
      <c r="G15" s="18" t="n">
        <f aca="false">G14+F15+H15</f>
        <v>70428.4085566559</v>
      </c>
      <c r="H15" s="18" t="n">
        <f aca="false">G14*'Tax Rates'!$B$17</f>
        <v>4607.46598034198</v>
      </c>
      <c r="I15" s="18" t="n">
        <f aca="false">B15</f>
        <v>0</v>
      </c>
      <c r="J15" s="18" t="n">
        <f aca="false">I15*(1-'FHSS Calculator'!$B$13)</f>
        <v>0</v>
      </c>
      <c r="K15" s="18" t="n">
        <f aca="false">L14*'Tax Rates'!$B$17</f>
        <v>3685.97278427358</v>
      </c>
      <c r="L15" s="18" t="n">
        <f aca="false">L14+J15+K15</f>
        <v>56342.7268453247</v>
      </c>
      <c r="M15" s="18" t="n">
        <f aca="false">M14+H15</f>
        <v>32178.4085566559</v>
      </c>
      <c r="N15" s="18" t="n">
        <f aca="false">N14+K15</f>
        <v>25742.7268453247</v>
      </c>
    </row>
    <row r="16" customFormat="false" ht="14.25" hidden="false" customHeight="true" outlineLevel="0" collapsed="false">
      <c r="A16" s="67" t="n">
        <v>12</v>
      </c>
      <c r="B16" s="68" t="n">
        <f aca="false">IF(A16&lt;='FHSS Calculator'!$B$9,MIN('FHSS Calculator'!$B$18,'Tax Rates'!$B$16-SUM($B$4:B15)),0)</f>
        <v>0</v>
      </c>
      <c r="C16" s="68" t="n">
        <f aca="false">C15+B16</f>
        <v>45000</v>
      </c>
      <c r="D16" s="68" t="n">
        <f aca="false">IF(A16&lt;='FHSS Calculator'!$B$9,'FHSS Calculator'!$B$29,0)</f>
        <v>0</v>
      </c>
      <c r="E16" s="68" t="n">
        <f aca="false">E15+D16</f>
        <v>7650</v>
      </c>
      <c r="F16" s="68" t="n">
        <f aca="false">IF('FHSS Calculator'!$B$8="Concessional",B16*(1-('Tax Rates'!$B$12+IF(OR('FHSS Calculator'!$B$11="Yes",AND('FHSS Calculator'!$B$11="Auto",'FHSS Calculator'!$B$6&gt;'Tax Rates'!$B$19)),'Tax Rates'!$B$18,0))),B16)</f>
        <v>0</v>
      </c>
      <c r="G16" s="68" t="n">
        <f aca="false">G15+F16+H16</f>
        <v>75358.3971556218</v>
      </c>
      <c r="H16" s="68" t="n">
        <f aca="false">G15*'Tax Rates'!$B$17</f>
        <v>4929.98859896591</v>
      </c>
      <c r="I16" s="18" t="n">
        <f aca="false">B16</f>
        <v>0</v>
      </c>
      <c r="J16" s="18" t="n">
        <f aca="false">I16*(1-'FHSS Calculator'!$B$13)</f>
        <v>0</v>
      </c>
      <c r="K16" s="18" t="n">
        <f aca="false">L15*'Tax Rates'!$B$17</f>
        <v>3943.99087917273</v>
      </c>
      <c r="L16" s="18" t="n">
        <f aca="false">L15+J16+K16</f>
        <v>60286.7177244975</v>
      </c>
      <c r="M16" s="18" t="n">
        <f aca="false">M15+H16</f>
        <v>37108.3971556218</v>
      </c>
      <c r="N16" s="18" t="n">
        <f aca="false">N15+K16</f>
        <v>29686.7177244975</v>
      </c>
    </row>
    <row r="17" customFormat="false" ht="14.25" hidden="false" customHeight="true" outlineLevel="0" collapsed="false">
      <c r="A17" s="66" t="n">
        <v>13</v>
      </c>
      <c r="B17" s="18" t="n">
        <f aca="false">IF(A17&lt;='FHSS Calculator'!$B$9,MIN('FHSS Calculator'!$B$18,'Tax Rates'!$B$16-SUM($B$4:B16)),0)</f>
        <v>0</v>
      </c>
      <c r="C17" s="18" t="n">
        <f aca="false">C16+B17</f>
        <v>45000</v>
      </c>
      <c r="D17" s="18" t="n">
        <f aca="false">IF(A17&lt;='FHSS Calculator'!$B$9,'FHSS Calculator'!$B$29,0)</f>
        <v>0</v>
      </c>
      <c r="E17" s="18" t="n">
        <f aca="false">E16+D17</f>
        <v>7650</v>
      </c>
      <c r="F17" s="18" t="n">
        <f aca="false">IF('FHSS Calculator'!$B$8="Concessional",B17*(1-('Tax Rates'!$B$12+IF(OR('FHSS Calculator'!$B$11="Yes",AND('FHSS Calculator'!$B$11="Auto",'FHSS Calculator'!$B$6&gt;'Tax Rates'!$B$19)),'Tax Rates'!$B$18,0))),B17)</f>
        <v>0</v>
      </c>
      <c r="G17" s="18" t="n">
        <f aca="false">G16+F17+H17</f>
        <v>80633.4849565153</v>
      </c>
      <c r="H17" s="18" t="n">
        <f aca="false">G16*'Tax Rates'!$B$17</f>
        <v>5275.08780089353</v>
      </c>
      <c r="I17" s="18" t="n">
        <f aca="false">B17</f>
        <v>0</v>
      </c>
      <c r="J17" s="18" t="n">
        <f aca="false">I17*(1-'FHSS Calculator'!$B$13)</f>
        <v>0</v>
      </c>
      <c r="K17" s="18" t="n">
        <f aca="false">L16*'Tax Rates'!$B$17</f>
        <v>4220.07024071482</v>
      </c>
      <c r="L17" s="18" t="n">
        <f aca="false">L16+J17+K17</f>
        <v>64506.7879652123</v>
      </c>
      <c r="M17" s="18" t="n">
        <f aca="false">M16+H17</f>
        <v>42383.4849565154</v>
      </c>
      <c r="N17" s="18" t="n">
        <f aca="false">N16+K17</f>
        <v>33906.7879652123</v>
      </c>
    </row>
    <row r="18" customFormat="false" ht="14.25" hidden="false" customHeight="true" outlineLevel="0" collapsed="false">
      <c r="A18" s="66" t="n">
        <v>14</v>
      </c>
      <c r="B18" s="18" t="n">
        <f aca="false">IF(A18&lt;='FHSS Calculator'!$B$9,MIN('FHSS Calculator'!$B$18,'Tax Rates'!$B$16-SUM($B$4:B17)),0)</f>
        <v>0</v>
      </c>
      <c r="C18" s="18" t="n">
        <f aca="false">C17+B18</f>
        <v>45000</v>
      </c>
      <c r="D18" s="18" t="n">
        <f aca="false">IF(A18&lt;='FHSS Calculator'!$B$9,'FHSS Calculator'!$B$29,0)</f>
        <v>0</v>
      </c>
      <c r="E18" s="18" t="n">
        <f aca="false">E17+D18</f>
        <v>7650</v>
      </c>
      <c r="F18" s="18" t="n">
        <f aca="false">IF('FHSS Calculator'!$B$8="Concessional",B18*(1-('Tax Rates'!$B$12+IF(OR('FHSS Calculator'!$B$11="Yes",AND('FHSS Calculator'!$B$11="Auto",'FHSS Calculator'!$B$6&gt;'Tax Rates'!$B$19)),'Tax Rates'!$B$18,0))),B18)</f>
        <v>0</v>
      </c>
      <c r="G18" s="18" t="n">
        <f aca="false">G17+F18+H18</f>
        <v>86277.8289034714</v>
      </c>
      <c r="H18" s="18" t="n">
        <f aca="false">G17*'Tax Rates'!$B$17</f>
        <v>5644.34394695607</v>
      </c>
      <c r="I18" s="18" t="n">
        <f aca="false">B18</f>
        <v>0</v>
      </c>
      <c r="J18" s="18" t="n">
        <f aca="false">I18*(1-'FHSS Calculator'!$B$13)</f>
        <v>0</v>
      </c>
      <c r="K18" s="18" t="n">
        <f aca="false">L17*'Tax Rates'!$B$17</f>
        <v>4515.47515756486</v>
      </c>
      <c r="L18" s="18" t="n">
        <f aca="false">L17+J18+K18</f>
        <v>69022.2631227771</v>
      </c>
      <c r="M18" s="18" t="n">
        <f aca="false">M17+H18</f>
        <v>48027.8289034714</v>
      </c>
      <c r="N18" s="18" t="n">
        <f aca="false">N17+K18</f>
        <v>38422.2631227771</v>
      </c>
    </row>
    <row r="19" customFormat="false" ht="14.25" hidden="false" customHeight="true" outlineLevel="0" collapsed="false">
      <c r="A19" s="66" t="n">
        <v>15</v>
      </c>
      <c r="B19" s="18" t="n">
        <f aca="false">IF(A19&lt;='FHSS Calculator'!$B$9,MIN('FHSS Calculator'!$B$18,'Tax Rates'!$B$16-SUM($B$4:B18)),0)</f>
        <v>0</v>
      </c>
      <c r="C19" s="18" t="n">
        <f aca="false">C18+B19</f>
        <v>45000</v>
      </c>
      <c r="D19" s="18" t="n">
        <f aca="false">IF(A19&lt;='FHSS Calculator'!$B$9,'FHSS Calculator'!$B$29,0)</f>
        <v>0</v>
      </c>
      <c r="E19" s="18" t="n">
        <f aca="false">E18+D19</f>
        <v>7650</v>
      </c>
      <c r="F19" s="18" t="n">
        <f aca="false">IF('FHSS Calculator'!$B$8="Concessional",B19*(1-('Tax Rates'!$B$12+IF(OR('FHSS Calculator'!$B$11="Yes",AND('FHSS Calculator'!$B$11="Auto",'FHSS Calculator'!$B$6&gt;'Tax Rates'!$B$19)),'Tax Rates'!$B$18,0))),B19)</f>
        <v>0</v>
      </c>
      <c r="G19" s="18" t="n">
        <f aca="false">G18+F19+H19</f>
        <v>92317.2769267144</v>
      </c>
      <c r="H19" s="18" t="n">
        <f aca="false">G18*'Tax Rates'!$B$17</f>
        <v>6039.448023243</v>
      </c>
      <c r="I19" s="18" t="n">
        <f aca="false">B19</f>
        <v>0</v>
      </c>
      <c r="J19" s="18" t="n">
        <f aca="false">I19*(1-'FHSS Calculator'!$B$13)</f>
        <v>0</v>
      </c>
      <c r="K19" s="18" t="n">
        <f aca="false">L18*'Tax Rates'!$B$17</f>
        <v>4831.5584185944</v>
      </c>
      <c r="L19" s="18" t="n">
        <f aca="false">L18+J19+K19</f>
        <v>73853.8215413715</v>
      </c>
      <c r="M19" s="18" t="n">
        <f aca="false">M18+H19</f>
        <v>54067.2769267144</v>
      </c>
      <c r="N19" s="18" t="n">
        <f aca="false">N18+K19</f>
        <v>43253.8215413715</v>
      </c>
    </row>
    <row r="20" customFormat="false" ht="14.25" hidden="false" customHeight="true" outlineLevel="0" collapsed="false">
      <c r="A20" s="66" t="n">
        <v>16</v>
      </c>
      <c r="B20" s="18" t="n">
        <f aca="false">IF(A20&lt;='FHSS Calculator'!$B$9,MIN('FHSS Calculator'!$B$18,'Tax Rates'!$B$16-SUM($B$4:B19)),0)</f>
        <v>0</v>
      </c>
      <c r="C20" s="18" t="n">
        <f aca="false">C19+B20</f>
        <v>45000</v>
      </c>
      <c r="D20" s="18" t="n">
        <f aca="false">IF(A20&lt;='FHSS Calculator'!$B$9,'FHSS Calculator'!$B$29,0)</f>
        <v>0</v>
      </c>
      <c r="E20" s="18" t="n">
        <f aca="false">E19+D20</f>
        <v>7650</v>
      </c>
      <c r="F20" s="18" t="n">
        <f aca="false">IF('FHSS Calculator'!$B$8="Concessional",B20*(1-('Tax Rates'!$B$12+IF(OR('FHSS Calculator'!$B$11="Yes",AND('FHSS Calculator'!$B$11="Auto",'FHSS Calculator'!$B$6&gt;'Tax Rates'!$B$19)),'Tax Rates'!$B$18,0))),B20)</f>
        <v>0</v>
      </c>
      <c r="G20" s="18" t="n">
        <f aca="false">G19+F20+H20</f>
        <v>98779.4863115844</v>
      </c>
      <c r="H20" s="18" t="n">
        <f aca="false">G19*'Tax Rates'!$B$17</f>
        <v>6462.20938487001</v>
      </c>
      <c r="I20" s="18" t="n">
        <f aca="false">B20</f>
        <v>0</v>
      </c>
      <c r="J20" s="18" t="n">
        <f aca="false">I20*(1-'FHSS Calculator'!$B$13)</f>
        <v>0</v>
      </c>
      <c r="K20" s="18" t="n">
        <f aca="false">L19*'Tax Rates'!$B$17</f>
        <v>5169.76750789601</v>
      </c>
      <c r="L20" s="18" t="n">
        <f aca="false">L19+J20+K20</f>
        <v>79023.5890492675</v>
      </c>
      <c r="M20" s="18" t="n">
        <f aca="false">M19+H20</f>
        <v>60529.4863115844</v>
      </c>
      <c r="N20" s="18" t="n">
        <f aca="false">N19+K20</f>
        <v>48423.5890492676</v>
      </c>
    </row>
    <row r="21" customFormat="false" ht="14.25" hidden="false" customHeight="true" outlineLevel="0" collapsed="false">
      <c r="A21" s="66" t="n">
        <v>17</v>
      </c>
      <c r="B21" s="18" t="n">
        <f aca="false">IF(A21&lt;='FHSS Calculator'!$B$9,MIN('FHSS Calculator'!$B$18,'Tax Rates'!$B$16-SUM($B$4:B20)),0)</f>
        <v>0</v>
      </c>
      <c r="C21" s="18" t="n">
        <f aca="false">C20+B21</f>
        <v>45000</v>
      </c>
      <c r="D21" s="18" t="n">
        <f aca="false">IF(A21&lt;='FHSS Calculator'!$B$9,'FHSS Calculator'!$B$29,0)</f>
        <v>0</v>
      </c>
      <c r="E21" s="18" t="n">
        <f aca="false">E20+D21</f>
        <v>7650</v>
      </c>
      <c r="F21" s="18" t="n">
        <f aca="false">IF('FHSS Calculator'!$B$8="Concessional",B21*(1-('Tax Rates'!$B$12+IF(OR('FHSS Calculator'!$B$11="Yes",AND('FHSS Calculator'!$B$11="Auto",'FHSS Calculator'!$B$6&gt;'Tax Rates'!$B$19)),'Tax Rates'!$B$18,0))),B21)</f>
        <v>0</v>
      </c>
      <c r="G21" s="18" t="n">
        <f aca="false">G20+F21+H21</f>
        <v>105694.050353395</v>
      </c>
      <c r="H21" s="18" t="n">
        <f aca="false">G20*'Tax Rates'!$B$17</f>
        <v>6914.56404181091</v>
      </c>
      <c r="I21" s="18" t="n">
        <f aca="false">B21</f>
        <v>0</v>
      </c>
      <c r="J21" s="18" t="n">
        <f aca="false">I21*(1-'FHSS Calculator'!$B$13)</f>
        <v>0</v>
      </c>
      <c r="K21" s="18" t="n">
        <f aca="false">L20*'Tax Rates'!$B$17</f>
        <v>5531.65123344873</v>
      </c>
      <c r="L21" s="18" t="n">
        <f aca="false">L20+J21+K21</f>
        <v>84555.2402827163</v>
      </c>
      <c r="M21" s="18" t="n">
        <f aca="false">M20+H21</f>
        <v>67444.0503533954</v>
      </c>
      <c r="N21" s="18" t="n">
        <f aca="false">N20+K21</f>
        <v>53955.2402827163</v>
      </c>
    </row>
    <row r="22" customFormat="false" ht="14.25" hidden="false" customHeight="true" outlineLevel="0" collapsed="false">
      <c r="A22" s="66" t="n">
        <v>18</v>
      </c>
      <c r="B22" s="18" t="n">
        <f aca="false">IF(A22&lt;='FHSS Calculator'!$B$9,MIN('FHSS Calculator'!$B$18,'Tax Rates'!$B$16-SUM($B$4:B21)),0)</f>
        <v>0</v>
      </c>
      <c r="C22" s="18" t="n">
        <f aca="false">C21+B22</f>
        <v>45000</v>
      </c>
      <c r="D22" s="18" t="n">
        <f aca="false">IF(A22&lt;='FHSS Calculator'!$B$9,'FHSS Calculator'!$B$29,0)</f>
        <v>0</v>
      </c>
      <c r="E22" s="18" t="n">
        <f aca="false">E21+D22</f>
        <v>7650</v>
      </c>
      <c r="F22" s="18" t="n">
        <f aca="false">IF('FHSS Calculator'!$B$8="Concessional",B22*(1-('Tax Rates'!$B$12+IF(OR('FHSS Calculator'!$B$11="Yes",AND('FHSS Calculator'!$B$11="Auto",'FHSS Calculator'!$B$6&gt;'Tax Rates'!$B$19)),'Tax Rates'!$B$18,0))),B22)</f>
        <v>0</v>
      </c>
      <c r="G22" s="18" t="n">
        <f aca="false">G21+F22+H22</f>
        <v>113092.633878133</v>
      </c>
      <c r="H22" s="18" t="n">
        <f aca="false">G21*'Tax Rates'!$B$17</f>
        <v>7398.58352473767</v>
      </c>
      <c r="I22" s="18" t="n">
        <f aca="false">B22</f>
        <v>0</v>
      </c>
      <c r="J22" s="18" t="n">
        <f aca="false">I22*(1-'FHSS Calculator'!$B$13)</f>
        <v>0</v>
      </c>
      <c r="K22" s="18" t="n">
        <f aca="false">L21*'Tax Rates'!$B$17</f>
        <v>5918.86681979014</v>
      </c>
      <c r="L22" s="18" t="n">
        <f aca="false">L21+J22+K22</f>
        <v>90474.1071025064</v>
      </c>
      <c r="M22" s="18" t="n">
        <f aca="false">M21+H22</f>
        <v>74842.633878133</v>
      </c>
      <c r="N22" s="18" t="n">
        <f aca="false">N21+K22</f>
        <v>59874.1071025064</v>
      </c>
    </row>
    <row r="23" customFormat="false" ht="14.25" hidden="false" customHeight="true" outlineLevel="0" collapsed="false">
      <c r="A23" s="66" t="n">
        <v>19</v>
      </c>
      <c r="B23" s="18" t="n">
        <f aca="false">IF(A23&lt;='FHSS Calculator'!$B$9,MIN('FHSS Calculator'!$B$18,'Tax Rates'!$B$16-SUM($B$4:B22)),0)</f>
        <v>0</v>
      </c>
      <c r="C23" s="18" t="n">
        <f aca="false">C22+B23</f>
        <v>45000</v>
      </c>
      <c r="D23" s="18" t="n">
        <f aca="false">IF(A23&lt;='FHSS Calculator'!$B$9,'FHSS Calculator'!$B$29,0)</f>
        <v>0</v>
      </c>
      <c r="E23" s="18" t="n">
        <f aca="false">E22+D23</f>
        <v>7650</v>
      </c>
      <c r="F23" s="18" t="n">
        <f aca="false">IF('FHSS Calculator'!$B$8="Concessional",B23*(1-('Tax Rates'!$B$12+IF(OR('FHSS Calculator'!$B$11="Yes",AND('FHSS Calculator'!$B$11="Auto",'FHSS Calculator'!$B$6&gt;'Tax Rates'!$B$19)),'Tax Rates'!$B$18,0))),B23)</f>
        <v>0</v>
      </c>
      <c r="G23" s="18" t="n">
        <f aca="false">G22+F23+H23</f>
        <v>121009.118249602</v>
      </c>
      <c r="H23" s="18" t="n">
        <f aca="false">G22*'Tax Rates'!$B$17</f>
        <v>7916.48437146931</v>
      </c>
      <c r="I23" s="18" t="n">
        <f aca="false">B23</f>
        <v>0</v>
      </c>
      <c r="J23" s="18" t="n">
        <f aca="false">I23*(1-'FHSS Calculator'!$B$13)</f>
        <v>0</v>
      </c>
      <c r="K23" s="18" t="n">
        <f aca="false">L22*'Tax Rates'!$B$17</f>
        <v>6333.18749717545</v>
      </c>
      <c r="L23" s="18" t="n">
        <f aca="false">L22+J23+K23</f>
        <v>96807.2945996819</v>
      </c>
      <c r="M23" s="18" t="n">
        <f aca="false">M22+H23</f>
        <v>82759.1182496023</v>
      </c>
      <c r="N23" s="18" t="n">
        <f aca="false">N22+K23</f>
        <v>66207.2945996819</v>
      </c>
    </row>
    <row r="24" customFormat="false" ht="14.25" hidden="false" customHeight="true" outlineLevel="0" collapsed="false">
      <c r="A24" s="66" t="n">
        <v>20</v>
      </c>
      <c r="B24" s="18" t="n">
        <f aca="false">IF(A24&lt;='FHSS Calculator'!$B$9,MIN('FHSS Calculator'!$B$18,'Tax Rates'!$B$16-SUM($B$4:B23)),0)</f>
        <v>0</v>
      </c>
      <c r="C24" s="18" t="n">
        <f aca="false">C23+B24</f>
        <v>45000</v>
      </c>
      <c r="D24" s="18" t="n">
        <f aca="false">IF(A24&lt;='FHSS Calculator'!$B$9,'FHSS Calculator'!$B$29,0)</f>
        <v>0</v>
      </c>
      <c r="E24" s="18" t="n">
        <f aca="false">E23+D24</f>
        <v>7650</v>
      </c>
      <c r="F24" s="18" t="n">
        <f aca="false">IF('FHSS Calculator'!$B$8="Concessional",B24*(1-('Tax Rates'!$B$12+IF(OR('FHSS Calculator'!$B$11="Yes",AND('FHSS Calculator'!$B$11="Auto",'FHSS Calculator'!$B$6&gt;'Tax Rates'!$B$19)),'Tax Rates'!$B$18,0))),B24)</f>
        <v>0</v>
      </c>
      <c r="G24" s="18" t="n">
        <f aca="false">G23+F24+H24</f>
        <v>129479.756527074</v>
      </c>
      <c r="H24" s="18" t="n">
        <f aca="false">G23*'Tax Rates'!$B$17</f>
        <v>8470.63827747216</v>
      </c>
      <c r="I24" s="18" t="n">
        <f aca="false">B24</f>
        <v>0</v>
      </c>
      <c r="J24" s="18" t="n">
        <f aca="false">I24*(1-'FHSS Calculator'!$B$13)</f>
        <v>0</v>
      </c>
      <c r="K24" s="18" t="n">
        <f aca="false">L23*'Tax Rates'!$B$17</f>
        <v>6776.51062197773</v>
      </c>
      <c r="L24" s="18" t="n">
        <f aca="false">L23+J24+K24</f>
        <v>103583.80522166</v>
      </c>
      <c r="M24" s="18" t="n">
        <f aca="false">M23+H24</f>
        <v>91229.7565270745</v>
      </c>
      <c r="N24" s="18" t="n">
        <f aca="false">N23+K24</f>
        <v>72983.8052216596</v>
      </c>
    </row>
    <row r="25" customFormat="false" ht="14.25" hidden="false" customHeight="true" outlineLevel="0" collapsed="false">
      <c r="A25" s="66" t="n">
        <v>21</v>
      </c>
      <c r="B25" s="18" t="n">
        <f aca="false">IF(A25&lt;='FHSS Calculator'!$B$9,MIN('FHSS Calculator'!$B$18,'Tax Rates'!$B$16-SUM($B$4:B24)),0)</f>
        <v>0</v>
      </c>
      <c r="C25" s="18" t="n">
        <f aca="false">C24+B25</f>
        <v>45000</v>
      </c>
      <c r="D25" s="18" t="n">
        <f aca="false">IF(A25&lt;='FHSS Calculator'!$B$9,'FHSS Calculator'!$B$29,0)</f>
        <v>0</v>
      </c>
      <c r="E25" s="18" t="n">
        <f aca="false">E24+D25</f>
        <v>7650</v>
      </c>
      <c r="F25" s="18" t="n">
        <f aca="false">IF('FHSS Calculator'!$B$8="Concessional",B25*(1-('Tax Rates'!$B$12+IF(OR('FHSS Calculator'!$B$11="Yes",AND('FHSS Calculator'!$B$11="Auto",'FHSS Calculator'!$B$6&gt;'Tax Rates'!$B$19)),'Tax Rates'!$B$18,0))),B25)</f>
        <v>0</v>
      </c>
      <c r="G25" s="18" t="n">
        <f aca="false">G24+F25+H25</f>
        <v>138543.33948397</v>
      </c>
      <c r="H25" s="18" t="n">
        <f aca="false">G24*'Tax Rates'!$B$17</f>
        <v>9063.58295689521</v>
      </c>
      <c r="I25" s="18" t="n">
        <f aca="false">B25</f>
        <v>0</v>
      </c>
      <c r="J25" s="18" t="n">
        <f aca="false">I25*(1-'FHSS Calculator'!$B$13)</f>
        <v>0</v>
      </c>
      <c r="K25" s="18" t="n">
        <f aca="false">L24*'Tax Rates'!$B$17</f>
        <v>7250.86636551617</v>
      </c>
      <c r="L25" s="18" t="n">
        <f aca="false">L24+J25+K25</f>
        <v>110834.671587176</v>
      </c>
      <c r="M25" s="18" t="n">
        <f aca="false">M24+H25</f>
        <v>100293.33948397</v>
      </c>
      <c r="N25" s="18" t="n">
        <f aca="false">N24+K25</f>
        <v>80234.6715871758</v>
      </c>
    </row>
    <row r="26" customFormat="false" ht="14.25" hidden="false" customHeight="true" outlineLevel="0" collapsed="false">
      <c r="A26" s="66" t="n">
        <v>22</v>
      </c>
      <c r="B26" s="18" t="n">
        <f aca="false">IF(A26&lt;='FHSS Calculator'!$B$9,MIN('FHSS Calculator'!$B$18,'Tax Rates'!$B$16-SUM($B$4:B25)),0)</f>
        <v>0</v>
      </c>
      <c r="C26" s="18" t="n">
        <f aca="false">C25+B26</f>
        <v>45000</v>
      </c>
      <c r="D26" s="18" t="n">
        <f aca="false">IF(A26&lt;='FHSS Calculator'!$B$9,'FHSS Calculator'!$B$29,0)</f>
        <v>0</v>
      </c>
      <c r="E26" s="18" t="n">
        <f aca="false">E25+D26</f>
        <v>7650</v>
      </c>
      <c r="F26" s="18" t="n">
        <f aca="false">IF('FHSS Calculator'!$B$8="Concessional",B26*(1-('Tax Rates'!$B$12+IF(OR('FHSS Calculator'!$B$11="Yes",AND('FHSS Calculator'!$B$11="Auto",'FHSS Calculator'!$B$6&gt;'Tax Rates'!$B$19)),'Tax Rates'!$B$18,0))),B26)</f>
        <v>0</v>
      </c>
      <c r="G26" s="18" t="n">
        <f aca="false">G25+F26+H26</f>
        <v>148241.373247848</v>
      </c>
      <c r="H26" s="18" t="n">
        <f aca="false">G25*'Tax Rates'!$B$17</f>
        <v>9698.03376387788</v>
      </c>
      <c r="I26" s="18" t="n">
        <f aca="false">B26</f>
        <v>0</v>
      </c>
      <c r="J26" s="18" t="n">
        <f aca="false">I26*(1-'FHSS Calculator'!$B$13)</f>
        <v>0</v>
      </c>
      <c r="K26" s="18" t="n">
        <f aca="false">L25*'Tax Rates'!$B$17</f>
        <v>7758.42701110231</v>
      </c>
      <c r="L26" s="18" t="n">
        <f aca="false">L25+J26+K26</f>
        <v>118593.098598278</v>
      </c>
      <c r="M26" s="18" t="n">
        <f aca="false">M25+H26</f>
        <v>109991.373247848</v>
      </c>
      <c r="N26" s="18" t="n">
        <f aca="false">N25+K26</f>
        <v>87993.0985982781</v>
      </c>
    </row>
    <row r="27" customFormat="false" ht="14.25" hidden="false" customHeight="true" outlineLevel="0" collapsed="false">
      <c r="A27" s="66" t="n">
        <v>23</v>
      </c>
      <c r="B27" s="18" t="n">
        <f aca="false">IF(A27&lt;='FHSS Calculator'!$B$9,MIN('FHSS Calculator'!$B$18,'Tax Rates'!$B$16-SUM($B$4:B26)),0)</f>
        <v>0</v>
      </c>
      <c r="C27" s="18" t="n">
        <f aca="false">C26+B27</f>
        <v>45000</v>
      </c>
      <c r="D27" s="18" t="n">
        <f aca="false">IF(A27&lt;='FHSS Calculator'!$B$9,'FHSS Calculator'!$B$29,0)</f>
        <v>0</v>
      </c>
      <c r="E27" s="18" t="n">
        <f aca="false">E26+D27</f>
        <v>7650</v>
      </c>
      <c r="F27" s="18" t="n">
        <f aca="false">IF('FHSS Calculator'!$B$8="Concessional",B27*(1-('Tax Rates'!$B$12+IF(OR('FHSS Calculator'!$B$11="Yes",AND('FHSS Calculator'!$B$11="Auto",'FHSS Calculator'!$B$6&gt;'Tax Rates'!$B$19)),'Tax Rates'!$B$18,0))),B27)</f>
        <v>0</v>
      </c>
      <c r="G27" s="18" t="n">
        <f aca="false">G26+F27+H27</f>
        <v>158618.269375197</v>
      </c>
      <c r="H27" s="18" t="n">
        <f aca="false">G26*'Tax Rates'!$B$17</f>
        <v>10376.8961273493</v>
      </c>
      <c r="I27" s="18" t="n">
        <f aca="false">B27</f>
        <v>0</v>
      </c>
      <c r="J27" s="18" t="n">
        <f aca="false">I27*(1-'FHSS Calculator'!$B$13)</f>
        <v>0</v>
      </c>
      <c r="K27" s="18" t="n">
        <f aca="false">L26*'Tax Rates'!$B$17</f>
        <v>8301.51690187947</v>
      </c>
      <c r="L27" s="18" t="n">
        <f aca="false">L26+J27+K27</f>
        <v>126894.615500158</v>
      </c>
      <c r="M27" s="18" t="n">
        <f aca="false">M26+H27</f>
        <v>120368.269375197</v>
      </c>
      <c r="N27" s="18" t="n">
        <f aca="false">N26+K27</f>
        <v>96294.6155001576</v>
      </c>
    </row>
    <row r="28" customFormat="false" ht="14.25" hidden="false" customHeight="true" outlineLevel="0" collapsed="false">
      <c r="A28" s="66" t="n">
        <v>24</v>
      </c>
      <c r="B28" s="18" t="n">
        <f aca="false">IF(A28&lt;='FHSS Calculator'!$B$9,MIN('FHSS Calculator'!$B$18,'Tax Rates'!$B$16-SUM($B$4:B27)),0)</f>
        <v>0</v>
      </c>
      <c r="C28" s="18" t="n">
        <f aca="false">C27+B28</f>
        <v>45000</v>
      </c>
      <c r="D28" s="18" t="n">
        <f aca="false">IF(A28&lt;='FHSS Calculator'!$B$9,'FHSS Calculator'!$B$29,0)</f>
        <v>0</v>
      </c>
      <c r="E28" s="18" t="n">
        <f aca="false">E27+D28</f>
        <v>7650</v>
      </c>
      <c r="F28" s="18" t="n">
        <f aca="false">IF('FHSS Calculator'!$B$8="Concessional",B28*(1-('Tax Rates'!$B$12+IF(OR('FHSS Calculator'!$B$11="Yes",AND('FHSS Calculator'!$B$11="Auto",'FHSS Calculator'!$B$6&gt;'Tax Rates'!$B$19)),'Tax Rates'!$B$18,0))),B28)</f>
        <v>0</v>
      </c>
      <c r="G28" s="18" t="n">
        <f aca="false">G27+F28+H28</f>
        <v>169721.548231461</v>
      </c>
      <c r="H28" s="18" t="n">
        <f aca="false">G27*'Tax Rates'!$B$17</f>
        <v>11103.2788562638</v>
      </c>
      <c r="I28" s="18" t="n">
        <f aca="false">B28</f>
        <v>0</v>
      </c>
      <c r="J28" s="18" t="n">
        <f aca="false">I28*(1-'FHSS Calculator'!$B$13)</f>
        <v>0</v>
      </c>
      <c r="K28" s="18" t="n">
        <f aca="false">L27*'Tax Rates'!$B$17</f>
        <v>8882.62308501103</v>
      </c>
      <c r="L28" s="18" t="n">
        <f aca="false">L27+J28+K28</f>
        <v>135777.238585169</v>
      </c>
      <c r="M28" s="18" t="n">
        <f aca="false">M27+H28</f>
        <v>131471.548231461</v>
      </c>
      <c r="N28" s="18" t="n">
        <f aca="false">N27+K28</f>
        <v>105177.238585169</v>
      </c>
    </row>
    <row r="29" customFormat="false" ht="14.25" hidden="false" customHeight="true" outlineLevel="0" collapsed="false">
      <c r="A29" s="66" t="n">
        <v>25</v>
      </c>
      <c r="B29" s="18" t="n">
        <f aca="false">IF(A29&lt;='FHSS Calculator'!$B$9,MIN('FHSS Calculator'!$B$18,'Tax Rates'!$B$16-SUM($B$4:B28)),0)</f>
        <v>0</v>
      </c>
      <c r="C29" s="18" t="n">
        <f aca="false">C28+B29</f>
        <v>45000</v>
      </c>
      <c r="D29" s="18" t="n">
        <f aca="false">IF(A29&lt;='FHSS Calculator'!$B$9,'FHSS Calculator'!$B$29,0)</f>
        <v>0</v>
      </c>
      <c r="E29" s="18" t="n">
        <f aca="false">E28+D29</f>
        <v>7650</v>
      </c>
      <c r="F29" s="18" t="n">
        <f aca="false">IF('FHSS Calculator'!$B$8="Concessional",B29*(1-('Tax Rates'!$B$12+IF(OR('FHSS Calculator'!$B$11="Yes",AND('FHSS Calculator'!$B$11="Auto",'FHSS Calculator'!$B$6&gt;'Tax Rates'!$B$19)),'Tax Rates'!$B$18,0))),B29)</f>
        <v>0</v>
      </c>
      <c r="G29" s="18" t="n">
        <f aca="false">G28+F29+H29</f>
        <v>181602.056607663</v>
      </c>
      <c r="H29" s="18" t="n">
        <f aca="false">G28*'Tax Rates'!$B$17</f>
        <v>11880.5083762022</v>
      </c>
      <c r="I29" s="18" t="n">
        <f aca="false">B29</f>
        <v>0</v>
      </c>
      <c r="J29" s="18" t="n">
        <f aca="false">I29*(1-'FHSS Calculator'!$B$13)</f>
        <v>0</v>
      </c>
      <c r="K29" s="18" t="n">
        <f aca="false">L28*'Tax Rates'!$B$17</f>
        <v>9504.4067009618</v>
      </c>
      <c r="L29" s="18" t="n">
        <f aca="false">L28+J29+K29</f>
        <v>145281.64528613</v>
      </c>
      <c r="M29" s="18" t="n">
        <f aca="false">M28+H29</f>
        <v>143352.056607663</v>
      </c>
      <c r="N29" s="18" t="n">
        <f aca="false">N28+K29</f>
        <v>114681.64528613</v>
      </c>
    </row>
    <row r="30" customFormat="false" ht="14.25" hidden="false" customHeight="true" outlineLevel="0" collapsed="false">
      <c r="A30" s="66" t="n">
        <v>26</v>
      </c>
      <c r="B30" s="18" t="n">
        <f aca="false">IF(A30&lt;='FHSS Calculator'!$B$9,MIN('FHSS Calculator'!$B$18,'Tax Rates'!$B$16-SUM($B$4:B29)),0)</f>
        <v>0</v>
      </c>
      <c r="C30" s="18" t="n">
        <f aca="false">C29+B30</f>
        <v>45000</v>
      </c>
      <c r="D30" s="18" t="n">
        <f aca="false">IF(A30&lt;='FHSS Calculator'!$B$9,'FHSS Calculator'!$B$29,0)</f>
        <v>0</v>
      </c>
      <c r="E30" s="18" t="n">
        <f aca="false">E29+D30</f>
        <v>7650</v>
      </c>
      <c r="F30" s="18" t="n">
        <f aca="false">IF('FHSS Calculator'!$B$8="Concessional",B30*(1-('Tax Rates'!$B$12+IF(OR('FHSS Calculator'!$B$11="Yes",AND('FHSS Calculator'!$B$11="Auto",'FHSS Calculator'!$B$6&gt;'Tax Rates'!$B$19)),'Tax Rates'!$B$18,0))),B30)</f>
        <v>0</v>
      </c>
      <c r="G30" s="18" t="n">
        <f aca="false">G29+F30+H30</f>
        <v>194314.200570199</v>
      </c>
      <c r="H30" s="18" t="n">
        <f aca="false">G29*'Tax Rates'!$B$17</f>
        <v>12712.1439625364</v>
      </c>
      <c r="I30" s="18" t="n">
        <f aca="false">B30</f>
        <v>0</v>
      </c>
      <c r="J30" s="18" t="n">
        <f aca="false">I30*(1-'FHSS Calculator'!$B$13)</f>
        <v>0</v>
      </c>
      <c r="K30" s="18" t="n">
        <f aca="false">L29*'Tax Rates'!$B$17</f>
        <v>10169.7151700291</v>
      </c>
      <c r="L30" s="18" t="n">
        <f aca="false">L29+J30+K30</f>
        <v>155451.360456159</v>
      </c>
      <c r="M30" s="18" t="n">
        <f aca="false">M29+H30</f>
        <v>156064.200570199</v>
      </c>
      <c r="N30" s="18" t="n">
        <f aca="false">N29+K30</f>
        <v>124851.36045616</v>
      </c>
    </row>
    <row r="31" customFormat="false" ht="14.25" hidden="false" customHeight="true" outlineLevel="0" collapsed="false">
      <c r="A31" s="66" t="n">
        <v>27</v>
      </c>
      <c r="B31" s="18" t="n">
        <f aca="false">IF(A31&lt;='FHSS Calculator'!$B$9,MIN('FHSS Calculator'!$B$18,'Tax Rates'!$B$16-SUM($B$4:B30)),0)</f>
        <v>0</v>
      </c>
      <c r="C31" s="18" t="n">
        <f aca="false">C30+B31</f>
        <v>45000</v>
      </c>
      <c r="D31" s="18" t="n">
        <f aca="false">IF(A31&lt;='FHSS Calculator'!$B$9,'FHSS Calculator'!$B$29,0)</f>
        <v>0</v>
      </c>
      <c r="E31" s="18" t="n">
        <f aca="false">E30+D31</f>
        <v>7650</v>
      </c>
      <c r="F31" s="18" t="n">
        <f aca="false">IF('FHSS Calculator'!$B$8="Concessional",B31*(1-('Tax Rates'!$B$12+IF(OR('FHSS Calculator'!$B$11="Yes",AND('FHSS Calculator'!$B$11="Auto",'FHSS Calculator'!$B$6&gt;'Tax Rates'!$B$19)),'Tax Rates'!$B$18,0))),B31)</f>
        <v>0</v>
      </c>
      <c r="G31" s="18" t="n">
        <f aca="false">G30+F31+H31</f>
        <v>207916.194610113</v>
      </c>
      <c r="H31" s="18" t="n">
        <f aca="false">G30*'Tax Rates'!$B$17</f>
        <v>13601.994039914</v>
      </c>
      <c r="I31" s="18" t="n">
        <f aca="false">B31</f>
        <v>0</v>
      </c>
      <c r="J31" s="18" t="n">
        <f aca="false">I31*(1-'FHSS Calculator'!$B$13)</f>
        <v>0</v>
      </c>
      <c r="K31" s="18" t="n">
        <f aca="false">L30*'Tax Rates'!$B$17</f>
        <v>10881.5952319312</v>
      </c>
      <c r="L31" s="18" t="n">
        <f aca="false">L30+J31+K31</f>
        <v>166332.955688091</v>
      </c>
      <c r="M31" s="18" t="n">
        <f aca="false">M30+H31</f>
        <v>169666.194610113</v>
      </c>
      <c r="N31" s="18" t="n">
        <f aca="false">N30+K31</f>
        <v>135732.955688091</v>
      </c>
    </row>
    <row r="32" customFormat="false" ht="14.25" hidden="false" customHeight="true" outlineLevel="0" collapsed="false">
      <c r="A32" s="66" t="n">
        <v>28</v>
      </c>
      <c r="B32" s="18" t="n">
        <f aca="false">IF(A32&lt;='FHSS Calculator'!$B$9,MIN('FHSS Calculator'!$B$18,'Tax Rates'!$B$16-SUM($B$4:B31)),0)</f>
        <v>0</v>
      </c>
      <c r="C32" s="18" t="n">
        <f aca="false">C31+B32</f>
        <v>45000</v>
      </c>
      <c r="D32" s="18" t="n">
        <f aca="false">IF(A32&lt;='FHSS Calculator'!$B$9,'FHSS Calculator'!$B$29,0)</f>
        <v>0</v>
      </c>
      <c r="E32" s="18" t="n">
        <f aca="false">E31+D32</f>
        <v>7650</v>
      </c>
      <c r="F32" s="18" t="n">
        <f aca="false">IF('FHSS Calculator'!$B$8="Concessional",B32*(1-('Tax Rates'!$B$12+IF(OR('FHSS Calculator'!$B$11="Yes",AND('FHSS Calculator'!$B$11="Auto",'FHSS Calculator'!$B$6&gt;'Tax Rates'!$B$19)),'Tax Rates'!$B$18,0))),B32)</f>
        <v>0</v>
      </c>
      <c r="G32" s="18" t="n">
        <f aca="false">G31+F32+H32</f>
        <v>222470.328232821</v>
      </c>
      <c r="H32" s="18" t="n">
        <f aca="false">G31*'Tax Rates'!$B$17</f>
        <v>14554.1336227079</v>
      </c>
      <c r="I32" s="18" t="n">
        <f aca="false">B32</f>
        <v>0</v>
      </c>
      <c r="J32" s="18" t="n">
        <f aca="false">I32*(1-'FHSS Calculator'!$B$13)</f>
        <v>0</v>
      </c>
      <c r="K32" s="18" t="n">
        <f aca="false">L31*'Tax Rates'!$B$17</f>
        <v>11643.3068981663</v>
      </c>
      <c r="L32" s="18" t="n">
        <f aca="false">L31+J32+K32</f>
        <v>177976.262586257</v>
      </c>
      <c r="M32" s="18" t="n">
        <f aca="false">M31+H32</f>
        <v>184220.328232821</v>
      </c>
      <c r="N32" s="18" t="n">
        <f aca="false">N31+K32</f>
        <v>147376.262586257</v>
      </c>
    </row>
    <row r="33" customFormat="false" ht="14.25" hidden="false" customHeight="true" outlineLevel="0" collapsed="false">
      <c r="A33" s="66" t="n">
        <v>29</v>
      </c>
      <c r="B33" s="18" t="n">
        <f aca="false">IF(A33&lt;='FHSS Calculator'!$B$9,MIN('FHSS Calculator'!$B$18,'Tax Rates'!$B$16-SUM($B$4:B32)),0)</f>
        <v>0</v>
      </c>
      <c r="C33" s="18" t="n">
        <f aca="false">C32+B33</f>
        <v>45000</v>
      </c>
      <c r="D33" s="18" t="n">
        <f aca="false">IF(A33&lt;='FHSS Calculator'!$B$9,'FHSS Calculator'!$B$29,0)</f>
        <v>0</v>
      </c>
      <c r="E33" s="18" t="n">
        <f aca="false">E32+D33</f>
        <v>7650</v>
      </c>
      <c r="F33" s="18" t="n">
        <f aca="false">IF('FHSS Calculator'!$B$8="Concessional",B33*(1-('Tax Rates'!$B$12+IF(OR('FHSS Calculator'!$B$11="Yes",AND('FHSS Calculator'!$B$11="Auto",'FHSS Calculator'!$B$6&gt;'Tax Rates'!$B$19)),'Tax Rates'!$B$18,0))),B33)</f>
        <v>0</v>
      </c>
      <c r="G33" s="18" t="n">
        <f aca="false">G32+F33+H33</f>
        <v>238043.251209119</v>
      </c>
      <c r="H33" s="18" t="n">
        <f aca="false">G32*'Tax Rates'!$B$17</f>
        <v>15572.9229762975</v>
      </c>
      <c r="I33" s="18" t="n">
        <f aca="false">B33</f>
        <v>0</v>
      </c>
      <c r="J33" s="18" t="n">
        <f aca="false">I33*(1-'FHSS Calculator'!$B$13)</f>
        <v>0</v>
      </c>
      <c r="K33" s="18" t="n">
        <f aca="false">L32*'Tax Rates'!$B$17</f>
        <v>12458.338381038</v>
      </c>
      <c r="L33" s="18" t="n">
        <f aca="false">L32+J33+K33</f>
        <v>190434.600967295</v>
      </c>
      <c r="M33" s="18" t="n">
        <f aca="false">M32+H33</f>
        <v>199793.251209119</v>
      </c>
      <c r="N33" s="18" t="n">
        <f aca="false">N32+K33</f>
        <v>159834.600967295</v>
      </c>
    </row>
    <row r="34" customFormat="false" ht="14.25" hidden="false" customHeight="true" outlineLevel="0" collapsed="false">
      <c r="A34" s="66" t="n">
        <v>30</v>
      </c>
      <c r="B34" s="18" t="n">
        <f aca="false">IF(A34&lt;='FHSS Calculator'!$B$9,MIN('FHSS Calculator'!$B$18,'Tax Rates'!$B$16-SUM($B$4:B33)),0)</f>
        <v>0</v>
      </c>
      <c r="C34" s="18" t="n">
        <f aca="false">C33+B34</f>
        <v>45000</v>
      </c>
      <c r="D34" s="18" t="n">
        <f aca="false">IF(A34&lt;='FHSS Calculator'!$B$9,'FHSS Calculator'!$B$29,0)</f>
        <v>0</v>
      </c>
      <c r="E34" s="18" t="n">
        <f aca="false">E33+D34</f>
        <v>7650</v>
      </c>
      <c r="F34" s="18" t="n">
        <f aca="false">IF('FHSS Calculator'!$B$8="Concessional",B34*(1-('Tax Rates'!$B$12+IF(OR('FHSS Calculator'!$B$11="Yes",AND('FHSS Calculator'!$B$11="Auto",'FHSS Calculator'!$B$6&gt;'Tax Rates'!$B$19)),'Tax Rates'!$B$18,0))),B34)</f>
        <v>0</v>
      </c>
      <c r="G34" s="18" t="n">
        <f aca="false">G33+F34+H34</f>
        <v>254706.278793757</v>
      </c>
      <c r="H34" s="18" t="n">
        <f aca="false">G33*'Tax Rates'!$B$17</f>
        <v>16663.0275846383</v>
      </c>
      <c r="I34" s="18" t="n">
        <f aca="false">B34</f>
        <v>0</v>
      </c>
      <c r="J34" s="18" t="n">
        <f aca="false">I34*(1-'FHSS Calculator'!$B$13)</f>
        <v>0</v>
      </c>
      <c r="K34" s="18" t="n">
        <f aca="false">L33*'Tax Rates'!$B$17</f>
        <v>13330.4220677107</v>
      </c>
      <c r="L34" s="18" t="n">
        <f aca="false">L33+J34+K34</f>
        <v>203765.023035006</v>
      </c>
      <c r="M34" s="18" t="n">
        <f aca="false">M33+H34</f>
        <v>216456.278793757</v>
      </c>
      <c r="N34" s="18" t="n">
        <f aca="false">N33+K34</f>
        <v>173165.023035006</v>
      </c>
    </row>
    <row r="36" customFormat="false" ht="14.25" hidden="false" customHeight="true" outlineLevel="0" collapsed="false">
      <c r="A36" s="69" t="s">
        <v>102</v>
      </c>
      <c r="B36" s="70" t="n">
        <f aca="false">SUM(B5:B34)</f>
        <v>45000</v>
      </c>
      <c r="C36" s="70"/>
      <c r="D36" s="70" t="n">
        <f aca="false">SUM(D5:D34)</f>
        <v>7650</v>
      </c>
      <c r="E36" s="70"/>
      <c r="F36" s="70" t="n">
        <f aca="false">SUM(F5:F34)</f>
        <v>38250</v>
      </c>
      <c r="G36" s="70"/>
      <c r="H36" s="70" t="n">
        <f aca="false">SUM(H5:H34)</f>
        <v>216456.278793757</v>
      </c>
      <c r="I36" s="70" t="n">
        <f aca="false">SUM(I5:I34)</f>
        <v>45000</v>
      </c>
      <c r="J36" s="70" t="n">
        <f aca="false">SUM(J5:J34)</f>
        <v>30600</v>
      </c>
      <c r="K36" s="70" t="n">
        <f aca="false">SUM(K5:K34)</f>
        <v>173165.023035006</v>
      </c>
      <c r="L36" s="70"/>
      <c r="M36" s="70"/>
      <c r="N36" s="70"/>
    </row>
    <row r="38" customFormat="false" ht="14.25" hidden="false" customHeight="true" outlineLevel="0" collapsed="false">
      <c r="A38" s="6" t="s">
        <v>103</v>
      </c>
    </row>
    <row r="39" customFormat="false" ht="14.25" hidden="false" customHeight="true" outlineLevel="0" collapsed="false">
      <c r="A39" s="6" t="s">
        <v>104</v>
      </c>
    </row>
    <row r="40" customFormat="false" ht="14.25" hidden="false" customHeight="true" outlineLevel="0" collapsed="false">
      <c r="A40" s="6" t="s">
        <v>105</v>
      </c>
    </row>
    <row r="41" customFormat="false" ht="14.25" hidden="false" customHeight="true" outlineLevel="0" collapsed="false">
      <c r="A41" s="6" t="s">
        <v>106</v>
      </c>
    </row>
    <row r="42" customFormat="false" ht="14.25" hidden="false" customHeight="true" outlineLevel="0" collapsed="false">
      <c r="A42" s="6" t="s">
        <v>107</v>
      </c>
    </row>
    <row r="43" customFormat="false" ht="14.25" hidden="false" customHeight="true" outlineLevel="0" collapsed="false">
      <c r="A43" s="6" t="s">
        <v>108</v>
      </c>
    </row>
    <row r="44" customFormat="false" ht="14.25" hidden="false" customHeight="true" outlineLevel="0" collapsed="false">
      <c r="A44" s="6" t="s">
        <v>109</v>
      </c>
    </row>
  </sheetData>
  <sheetProtection sheet="true"/>
  <mergeCells count="2">
    <mergeCell ref="A1:H1"/>
    <mergeCell ref="A2:H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2026-05-06T23:41:34Z</dcterms:created>
  <dc:creator>Amir Rodnia</dc:creator>
  <dc:description/>
  <dc:language>en-US</dc:language>
  <cp:lastModifiedBy>Amir Rodnia</cp:lastModifiedBy>
  <dcterms:modified xsi:type="dcterms:W3CDTF">2026-09-17T00:55:13Z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